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9420" windowHeight="4830" activeTab="0"/>
  </bookViews>
  <sheets>
    <sheet name="List1" sheetId="1" r:id="rId1"/>
    <sheet name="List3" sheetId="2" r:id="rId2"/>
    <sheet name="List4" sheetId="3" r:id="rId3"/>
  </sheets>
  <definedNames/>
  <calcPr fullCalcOnLoad="1"/>
</workbook>
</file>

<file path=xl/sharedStrings.xml><?xml version="1.0" encoding="utf-8"?>
<sst xmlns="http://schemas.openxmlformats.org/spreadsheetml/2006/main" count="252" uniqueCount="159">
  <si>
    <t>EKIPNO</t>
  </si>
  <si>
    <t>EKIPA</t>
  </si>
  <si>
    <t>1.kolo</t>
  </si>
  <si>
    <t>2.kolo</t>
  </si>
  <si>
    <t>3.kolo</t>
  </si>
  <si>
    <t>4.kolo</t>
  </si>
  <si>
    <t>5.kolo</t>
  </si>
  <si>
    <t>6.kolo</t>
  </si>
  <si>
    <t>7.kolo</t>
  </si>
  <si>
    <t>8.kolo</t>
  </si>
  <si>
    <t>Datum</t>
  </si>
  <si>
    <t>Organizator</t>
  </si>
  <si>
    <t>Trnovska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</si>
  <si>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</si>
  <si>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</si>
  <si>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</si>
  <si>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</si>
  <si>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</si>
  <si>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</si>
  <si>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</si>
  <si>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</si>
  <si>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</si>
  <si>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</si>
  <si>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POSAMEZNO</t>
  </si>
  <si>
    <t>Priimek in ime</t>
  </si>
  <si>
    <t>Društvo</t>
  </si>
  <si>
    <t>Rezultat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</si>
  <si>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</si>
  <si>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</si>
  <si>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</si>
  <si>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</si>
  <si>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</si>
  <si>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</si>
  <si>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</si>
  <si>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</si>
  <si>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</si>
  <si>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</si>
  <si>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</si>
  <si>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</si>
  <si>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</si>
  <si>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</si>
  <si>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</si>
  <si>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</si>
  <si>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</si>
  <si>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</si>
  <si>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</si>
  <si>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Seštevek</t>
  </si>
  <si>
    <t>30.</t>
  </si>
  <si>
    <t>31.</t>
  </si>
  <si>
    <t>32.</t>
  </si>
  <si>
    <t>33.</t>
  </si>
  <si>
    <t>34.</t>
  </si>
  <si>
    <t>MIN*</t>
  </si>
  <si>
    <t>35.</t>
  </si>
  <si>
    <t>MEDOBČINSKA LIGA Z ZRAČNO PUŠKO 2012/2013 - Serijska zračna puška</t>
  </si>
  <si>
    <t>Goran Turek</t>
  </si>
  <si>
    <t>Selce</t>
  </si>
  <si>
    <t>Milan Fluher</t>
  </si>
  <si>
    <t>Sara Srne</t>
  </si>
  <si>
    <t>Benjamin Plotajs</t>
  </si>
  <si>
    <t>Luka Žurman</t>
  </si>
  <si>
    <t>Aleš Štebih</t>
  </si>
  <si>
    <t>Trnovska A</t>
  </si>
  <si>
    <t>Mitja Kovačič</t>
  </si>
  <si>
    <t xml:space="preserve">Trnovska </t>
  </si>
  <si>
    <t>Velka A</t>
  </si>
  <si>
    <t>Velka B</t>
  </si>
  <si>
    <t>Selci</t>
  </si>
  <si>
    <t>Cerkvenjak</t>
  </si>
  <si>
    <t>Marjan Horvat</t>
  </si>
  <si>
    <t>Vitomarci</t>
  </si>
  <si>
    <t>Petra Zorman</t>
  </si>
  <si>
    <t>Šteinfelser Vlado</t>
  </si>
  <si>
    <t>Osek A</t>
  </si>
  <si>
    <t>Branko Korošak</t>
  </si>
  <si>
    <t>Anton Kocbek</t>
  </si>
  <si>
    <t>Nejc Kejžar</t>
  </si>
  <si>
    <t>Marjan Perko</t>
  </si>
  <si>
    <t>Osek B</t>
  </si>
  <si>
    <t>Mirko Tenšek</t>
  </si>
  <si>
    <t>Slavko Zorman</t>
  </si>
  <si>
    <t>Marinka Širovnik</t>
  </si>
  <si>
    <t>Srečko Vrečar</t>
  </si>
  <si>
    <t>Osek</t>
  </si>
  <si>
    <t>Damjan Prajndl</t>
  </si>
  <si>
    <t>Rok Štebih</t>
  </si>
  <si>
    <t>Trnovska B</t>
  </si>
  <si>
    <t>Slavko Gorenc</t>
  </si>
  <si>
    <t>Dominik Slekovec</t>
  </si>
  <si>
    <t>Roman Maguša</t>
  </si>
  <si>
    <t>Cerkvenjak (v Trnovski)</t>
  </si>
  <si>
    <t>Mitja Knap</t>
  </si>
  <si>
    <t>Stanko Polič</t>
  </si>
  <si>
    <t>Žan Vrhovšek</t>
  </si>
  <si>
    <t>Boštjan Gumzar</t>
  </si>
  <si>
    <t>Silvo Kocuvan</t>
  </si>
  <si>
    <t>Franc Slekovec</t>
  </si>
  <si>
    <t>Ferdo Majer</t>
  </si>
  <si>
    <t>Dejan Cvetko</t>
  </si>
  <si>
    <t>Leon Kos</t>
  </si>
  <si>
    <t>Jani Čeh</t>
  </si>
  <si>
    <t>Franci Hameršak</t>
  </si>
  <si>
    <t>36.</t>
  </si>
  <si>
    <t>Branko Peklar</t>
  </si>
  <si>
    <t>Skupaj po zadetih krogih</t>
  </si>
  <si>
    <t>Skupaj po točkah</t>
  </si>
  <si>
    <t>Trnovska B (mladi)</t>
  </si>
  <si>
    <t>Velka</t>
  </si>
  <si>
    <t>9.kolo</t>
  </si>
  <si>
    <t>Leon Mlinarič</t>
  </si>
  <si>
    <t>Janez Tašner</t>
  </si>
  <si>
    <t>Patrik Rajšp</t>
  </si>
  <si>
    <t>Boštjan Rola</t>
  </si>
  <si>
    <t>37.</t>
  </si>
  <si>
    <t>38.</t>
  </si>
  <si>
    <t>39.</t>
  </si>
  <si>
    <t>40.</t>
  </si>
  <si>
    <t>Aleš Fluher</t>
  </si>
  <si>
    <t>Leon Rola</t>
  </si>
  <si>
    <t>41.</t>
  </si>
  <si>
    <t>42.</t>
  </si>
  <si>
    <t>Trnovska vas</t>
  </si>
  <si>
    <t>Miran Kuzminski</t>
  </si>
  <si>
    <t>Elvir Kramberger</t>
  </si>
  <si>
    <t>43.</t>
  </si>
  <si>
    <t>Bojan Maguša</t>
  </si>
  <si>
    <t>44.</t>
  </si>
  <si>
    <t>Povprečje</t>
  </si>
  <si>
    <t>-</t>
  </si>
  <si>
    <t>krog #06 : 01-06 02-05 03-04 09-07 (10)-08</t>
  </si>
  <si>
    <t>krog #05 : 05-01 04-02 06-09 07-08 03-(10)</t>
  </si>
  <si>
    <t>krog #09 : 09-01 08-02 07-03 06-04 05-(10)</t>
  </si>
  <si>
    <t>krog #04 : 01-04 02-03 09-05 08-06 (10)-07</t>
  </si>
  <si>
    <t>krog #08 : 01-08 02-07 03-06 04-05 (10)-09</t>
  </si>
  <si>
    <t>krog #03 : 03-01 04-09 05-08 06-07 02-(10)</t>
  </si>
  <si>
    <t>krog #07 : 07-01 06-02 05-03 08-09 04-(10)</t>
  </si>
  <si>
    <t>krog #02 : 01-02 09-03 08-04 07-05 (10)-06</t>
  </si>
  <si>
    <t xml:space="preserve">9.krog  (Trnovska, 13.4.13) </t>
  </si>
  <si>
    <t>krog #01 : 02-09 03-08 04-07 05-06 01-(10)</t>
  </si>
  <si>
    <t>PROSTI</t>
  </si>
  <si>
    <t>8. krog (Velka, 6.4.13)</t>
  </si>
  <si>
    <t>4. krog (Vitomarci 19.1.13)</t>
  </si>
  <si>
    <t>SD TRNOVSKA B</t>
  </si>
  <si>
    <t>SD VELKA A</t>
  </si>
  <si>
    <t>CERKVENJAK</t>
  </si>
  <si>
    <t>SD OSEK A</t>
  </si>
  <si>
    <t>OSEK B</t>
  </si>
  <si>
    <t>VITOMARCI</t>
  </si>
  <si>
    <t>SD VELKA B</t>
  </si>
  <si>
    <t>7. krog (Velka, 16.3.13)</t>
  </si>
  <si>
    <t>3. krog (Cerkvenjak  12.1.13 v Trnovski)</t>
  </si>
  <si>
    <t>SD SELCI</t>
  </si>
  <si>
    <t>SD TRNOVSKA A</t>
  </si>
  <si>
    <t>6. krog (Selci, 16.2.13)</t>
  </si>
  <si>
    <t>2. krog (Osek 15.12.12)</t>
  </si>
  <si>
    <t>9 ali 10 ekip</t>
  </si>
  <si>
    <t>5. krog (Osek, 2.2.13)</t>
  </si>
  <si>
    <t>1. krog (Trnovska 1.12.12)</t>
  </si>
  <si>
    <t>Sistem tekmovanja 2012/2013</t>
  </si>
</sst>
</file>

<file path=xl/styles.xml><?xml version="1.0" encoding="utf-8"?>
<styleSheet xmlns="http://schemas.openxmlformats.org/spreadsheetml/2006/main">
  <numFmts count="17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/m/yy;@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b/>
      <i/>
      <sz val="8"/>
      <name val="Times New Roman"/>
      <family val="1"/>
    </font>
    <font>
      <b/>
      <sz val="6"/>
      <name val="Times New Roman"/>
      <family val="1"/>
    </font>
    <font>
      <b/>
      <sz val="7"/>
      <name val="Times New Roman"/>
      <family val="1"/>
    </font>
    <font>
      <sz val="4"/>
      <name val="Times New Roman"/>
      <family val="1"/>
    </font>
    <font>
      <b/>
      <sz val="5"/>
      <name val="Times New Roman"/>
      <family val="1"/>
    </font>
    <font>
      <sz val="6"/>
      <color indexed="10"/>
      <name val="Times New Roman"/>
      <family val="1"/>
    </font>
    <font>
      <sz val="8"/>
      <color indexed="10"/>
      <name val="Times New Roman"/>
      <family val="1"/>
    </font>
    <font>
      <b/>
      <sz val="8"/>
      <color indexed="30"/>
      <name val="Times New Roman"/>
      <family val="1"/>
    </font>
    <font>
      <b/>
      <sz val="6"/>
      <color indexed="30"/>
      <name val="Times New Roman"/>
      <family val="1"/>
    </font>
    <font>
      <sz val="7"/>
      <name val="Times New Roman"/>
      <family val="1"/>
    </font>
    <font>
      <sz val="5"/>
      <name val="Times New Roman"/>
      <family val="1"/>
    </font>
    <font>
      <sz val="5"/>
      <color indexed="10"/>
      <name val="Times New Roman"/>
      <family val="1"/>
    </font>
    <font>
      <b/>
      <sz val="8"/>
      <name val="Arial CE"/>
      <family val="0"/>
    </font>
    <font>
      <sz val="8"/>
      <name val="Arial"/>
      <family val="0"/>
    </font>
    <font>
      <b/>
      <sz val="6"/>
      <name val="Arial CE"/>
      <family val="0"/>
    </font>
    <font>
      <sz val="6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/>
    </border>
    <border>
      <left style="thin"/>
      <right style="thin"/>
      <top>
        <color indexed="63"/>
      </top>
      <bottom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medium"/>
      <bottom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/>
      <bottom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2" borderId="5" applyNumberFormat="0" applyFon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52" fillId="0" borderId="6" applyNumberFormat="0" applyFill="0" applyAlignment="0" applyProtection="0"/>
    <xf numFmtId="0" fontId="53" fillId="29" borderId="7" applyNumberFormat="0" applyAlignment="0" applyProtection="0"/>
    <xf numFmtId="0" fontId="54" fillId="20" borderId="8" applyNumberFormat="0" applyAlignment="0" applyProtection="0"/>
    <xf numFmtId="0" fontId="5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1" borderId="8" applyNumberFormat="0" applyAlignment="0" applyProtection="0"/>
    <xf numFmtId="0" fontId="57" fillId="0" borderId="9" applyNumberFormat="0" applyFill="0" applyAlignment="0" applyProtection="0"/>
  </cellStyleXfs>
  <cellXfs count="22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/>
    </xf>
    <xf numFmtId="2" fontId="2" fillId="0" borderId="0" xfId="0" applyNumberFormat="1" applyFont="1" applyFill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15" fillId="0" borderId="12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/>
    </xf>
    <xf numFmtId="0" fontId="14" fillId="0" borderId="12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0" fontId="3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top"/>
    </xf>
    <xf numFmtId="0" fontId="2" fillId="0" borderId="25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4" fillId="32" borderId="18" xfId="0" applyFont="1" applyFill="1" applyBorder="1" applyAlignment="1">
      <alignment horizontal="center" vertical="center" wrapText="1"/>
    </xf>
    <xf numFmtId="0" fontId="14" fillId="32" borderId="10" xfId="0" applyFont="1" applyFill="1" applyBorder="1" applyAlignment="1">
      <alignment horizontal="left" vertical="center" wrapText="1"/>
    </xf>
    <xf numFmtId="0" fontId="15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center" vertical="center" wrapText="1"/>
    </xf>
    <xf numFmtId="0" fontId="12" fillId="32" borderId="2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left" vertical="top" wrapText="1"/>
    </xf>
    <xf numFmtId="0" fontId="3" fillId="0" borderId="24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/>
    </xf>
    <xf numFmtId="0" fontId="14" fillId="0" borderId="19" xfId="0" applyFont="1" applyFill="1" applyBorder="1" applyAlignment="1">
      <alignment/>
    </xf>
    <xf numFmtId="0" fontId="12" fillId="0" borderId="24" xfId="0" applyFont="1" applyFill="1" applyBorder="1" applyAlignment="1">
      <alignment horizontal="center"/>
    </xf>
    <xf numFmtId="0" fontId="12" fillId="0" borderId="28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top" wrapText="1"/>
    </xf>
    <xf numFmtId="0" fontId="16" fillId="0" borderId="29" xfId="0" applyFont="1" applyFill="1" applyBorder="1" applyAlignment="1">
      <alignment horizontal="center" wrapText="1"/>
    </xf>
    <xf numFmtId="4" fontId="2" fillId="32" borderId="29" xfId="0" applyNumberFormat="1" applyFont="1" applyFill="1" applyBorder="1" applyAlignment="1">
      <alignment horizontal="center" vertical="center" wrapText="1"/>
    </xf>
    <xf numFmtId="4" fontId="2" fillId="0" borderId="29" xfId="0" applyNumberFormat="1" applyFont="1" applyFill="1" applyBorder="1" applyAlignment="1">
      <alignment horizontal="center" vertical="center" wrapText="1"/>
    </xf>
    <xf numFmtId="4" fontId="2" fillId="0" borderId="20" xfId="0" applyNumberFormat="1" applyFont="1" applyFill="1" applyBorder="1" applyAlignment="1">
      <alignment horizontal="center" vertical="center" wrapText="1"/>
    </xf>
    <xf numFmtId="0" fontId="14" fillId="32" borderId="18" xfId="0" applyFont="1" applyFill="1" applyBorder="1" applyAlignment="1">
      <alignment horizontal="center" vertical="center" wrapText="1"/>
    </xf>
    <xf numFmtId="0" fontId="14" fillId="32" borderId="10" xfId="0" applyFont="1" applyFill="1" applyBorder="1" applyAlignment="1">
      <alignment horizontal="left" vertical="center" wrapText="1"/>
    </xf>
    <xf numFmtId="0" fontId="15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/>
    </xf>
    <xf numFmtId="0" fontId="11" fillId="32" borderId="10" xfId="0" applyFont="1" applyFill="1" applyBorder="1" applyAlignment="1">
      <alignment horizontal="center" vertical="center" wrapText="1"/>
    </xf>
    <xf numFmtId="4" fontId="2" fillId="32" borderId="29" xfId="0" applyNumberFormat="1" applyFont="1" applyFill="1" applyBorder="1" applyAlignment="1">
      <alignment horizontal="center" vertical="center" wrapText="1"/>
    </xf>
    <xf numFmtId="0" fontId="12" fillId="32" borderId="24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 wrapText="1"/>
    </xf>
    <xf numFmtId="0" fontId="14" fillId="32" borderId="10" xfId="0" applyFont="1" applyFill="1" applyBorder="1" applyAlignment="1">
      <alignment horizontal="left" vertical="center"/>
    </xf>
    <xf numFmtId="0" fontId="12" fillId="32" borderId="24" xfId="0" applyFont="1" applyFill="1" applyBorder="1" applyAlignment="1">
      <alignment horizontal="center" vertical="center" wrapText="1"/>
    </xf>
    <xf numFmtId="0" fontId="14" fillId="32" borderId="10" xfId="0" applyFont="1" applyFill="1" applyBorder="1" applyAlignment="1">
      <alignment horizontal="left"/>
    </xf>
    <xf numFmtId="0" fontId="15" fillId="32" borderId="10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/>
    </xf>
    <xf numFmtId="0" fontId="14" fillId="32" borderId="10" xfId="0" applyFont="1" applyFill="1" applyBorder="1" applyAlignment="1">
      <alignment/>
    </xf>
    <xf numFmtId="0" fontId="2" fillId="32" borderId="18" xfId="0" applyFont="1" applyFill="1" applyBorder="1" applyAlignment="1">
      <alignment horizontal="center" vertical="center"/>
    </xf>
    <xf numFmtId="0" fontId="12" fillId="32" borderId="24" xfId="0" applyFont="1" applyFill="1" applyBorder="1" applyAlignment="1">
      <alignment horizontal="center" vertical="center"/>
    </xf>
    <xf numFmtId="0" fontId="14" fillId="33" borderId="18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72" fontId="9" fillId="10" borderId="13" xfId="0" applyNumberFormat="1" applyFont="1" applyFill="1" applyBorder="1" applyAlignment="1">
      <alignment horizontal="center" vertical="center" wrapText="1"/>
    </xf>
    <xf numFmtId="172" fontId="6" fillId="10" borderId="13" xfId="0" applyNumberFormat="1" applyFont="1" applyFill="1" applyBorder="1" applyAlignment="1">
      <alignment horizontal="center" vertical="center" wrapText="1"/>
    </xf>
    <xf numFmtId="172" fontId="6" fillId="10" borderId="13" xfId="0" applyNumberFormat="1" applyFont="1" applyFill="1" applyBorder="1" applyAlignment="1">
      <alignment horizontal="center" vertical="center" wrapText="1"/>
    </xf>
    <xf numFmtId="0" fontId="3" fillId="10" borderId="22" xfId="0" applyFont="1" applyFill="1" applyBorder="1" applyAlignment="1">
      <alignment horizontal="center" vertical="center" wrapText="1"/>
    </xf>
    <xf numFmtId="0" fontId="3" fillId="10" borderId="14" xfId="0" applyFont="1" applyFill="1" applyBorder="1" applyAlignment="1">
      <alignment horizontal="center" vertical="center" wrapText="1"/>
    </xf>
    <xf numFmtId="0" fontId="3" fillId="10" borderId="15" xfId="0" applyFont="1" applyFill="1" applyBorder="1" applyAlignment="1">
      <alignment horizontal="center" vertical="center" wrapText="1"/>
    </xf>
    <xf numFmtId="0" fontId="2" fillId="10" borderId="23" xfId="0" applyFont="1" applyFill="1" applyBorder="1" applyAlignment="1">
      <alignment horizontal="center" vertical="center" wrapText="1"/>
    </xf>
    <xf numFmtId="0" fontId="14" fillId="10" borderId="19" xfId="0" applyFont="1" applyFill="1" applyBorder="1" applyAlignment="1">
      <alignment horizontal="center" vertical="center" wrapText="1"/>
    </xf>
    <xf numFmtId="0" fontId="14" fillId="10" borderId="20" xfId="0" applyFont="1" applyFill="1" applyBorder="1" applyAlignment="1">
      <alignment horizontal="center" vertical="center" wrapText="1"/>
    </xf>
    <xf numFmtId="0" fontId="2" fillId="10" borderId="30" xfId="0" applyFont="1" applyFill="1" applyBorder="1" applyAlignment="1">
      <alignment horizontal="center" vertical="center" wrapText="1"/>
    </xf>
    <xf numFmtId="0" fontId="14" fillId="10" borderId="31" xfId="0" applyFont="1" applyFill="1" applyBorder="1" applyAlignment="1">
      <alignment horizontal="center" vertical="center" wrapText="1"/>
    </xf>
    <xf numFmtId="0" fontId="14" fillId="10" borderId="32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/>
    </xf>
    <xf numFmtId="0" fontId="18" fillId="0" borderId="0" xfId="0" applyFont="1" applyAlignment="1">
      <alignment/>
    </xf>
    <xf numFmtId="0" fontId="3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" fillId="0" borderId="0" xfId="0" applyFont="1" applyAlignment="1">
      <alignment/>
    </xf>
    <xf numFmtId="0" fontId="18" fillId="34" borderId="10" xfId="0" applyFont="1" applyFill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32" borderId="10" xfId="0" applyFont="1" applyFill="1" applyBorder="1" applyAlignment="1">
      <alignment horizontal="center"/>
    </xf>
    <xf numFmtId="0" fontId="20" fillId="0" borderId="33" xfId="0" applyFont="1" applyBorder="1" applyAlignment="1">
      <alignment horizontal="center" vertical="center"/>
    </xf>
    <xf numFmtId="0" fontId="20" fillId="35" borderId="22" xfId="0" applyFont="1" applyFill="1" applyBorder="1" applyAlignment="1">
      <alignment horizontal="center" vertical="center"/>
    </xf>
    <xf numFmtId="0" fontId="19" fillId="18" borderId="22" xfId="0" applyFont="1" applyFill="1" applyBorder="1" applyAlignment="1">
      <alignment horizontal="center" vertical="center"/>
    </xf>
    <xf numFmtId="0" fontId="19" fillId="18" borderId="14" xfId="0" applyFont="1" applyFill="1" applyBorder="1" applyAlignment="1">
      <alignment horizontal="center" vertical="center"/>
    </xf>
    <xf numFmtId="0" fontId="20" fillId="35" borderId="15" xfId="0" applyFont="1" applyFill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35" borderId="35" xfId="0" applyFont="1" applyFill="1" applyBorder="1" applyAlignment="1">
      <alignment horizontal="center" vertical="center"/>
    </xf>
    <xf numFmtId="0" fontId="19" fillId="18" borderId="35" xfId="0" applyFont="1" applyFill="1" applyBorder="1" applyAlignment="1">
      <alignment horizontal="center" vertical="center"/>
    </xf>
    <xf numFmtId="0" fontId="19" fillId="18" borderId="10" xfId="0" applyFont="1" applyFill="1" applyBorder="1" applyAlignment="1">
      <alignment horizontal="center" vertical="center"/>
    </xf>
    <xf numFmtId="0" fontId="20" fillId="35" borderId="29" xfId="0" applyFont="1" applyFill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27" xfId="0" applyFont="1" applyFill="1" applyBorder="1" applyAlignment="1">
      <alignment horizontal="center" vertical="center"/>
    </xf>
    <xf numFmtId="0" fontId="20" fillId="35" borderId="23" xfId="0" applyFont="1" applyFill="1" applyBorder="1" applyAlignment="1">
      <alignment horizontal="center" vertical="center"/>
    </xf>
    <xf numFmtId="0" fontId="19" fillId="18" borderId="23" xfId="0" applyFont="1" applyFill="1" applyBorder="1" applyAlignment="1">
      <alignment horizontal="center" vertical="center"/>
    </xf>
    <xf numFmtId="0" fontId="19" fillId="18" borderId="19" xfId="0" applyFont="1" applyFill="1" applyBorder="1" applyAlignment="1">
      <alignment horizontal="center" vertical="center"/>
    </xf>
    <xf numFmtId="0" fontId="20" fillId="32" borderId="20" xfId="0" applyFont="1" applyFill="1" applyBorder="1" applyAlignment="1">
      <alignment horizontal="center" vertical="center"/>
    </xf>
    <xf numFmtId="0" fontId="20" fillId="32" borderId="28" xfId="0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0" fontId="20" fillId="18" borderId="14" xfId="0" applyFont="1" applyFill="1" applyBorder="1" applyAlignment="1">
      <alignment horizontal="center" vertical="center"/>
    </xf>
    <xf numFmtId="0" fontId="20" fillId="18" borderId="10" xfId="0" applyFont="1" applyFill="1" applyBorder="1" applyAlignment="1">
      <alignment horizontal="center" vertical="center"/>
    </xf>
    <xf numFmtId="0" fontId="20" fillId="18" borderId="35" xfId="0" applyFont="1" applyFill="1" applyBorder="1" applyAlignment="1">
      <alignment horizontal="center" vertical="center"/>
    </xf>
    <xf numFmtId="0" fontId="20" fillId="32" borderId="27" xfId="0" applyFont="1" applyFill="1" applyBorder="1" applyAlignment="1">
      <alignment horizontal="center" vertical="center"/>
    </xf>
    <xf numFmtId="0" fontId="20" fillId="32" borderId="23" xfId="0" applyFont="1" applyFill="1" applyBorder="1" applyAlignment="1">
      <alignment horizontal="center" vertical="center"/>
    </xf>
    <xf numFmtId="0" fontId="20" fillId="18" borderId="23" xfId="0" applyFont="1" applyFill="1" applyBorder="1" applyAlignment="1">
      <alignment horizontal="center" vertical="center"/>
    </xf>
    <xf numFmtId="0" fontId="20" fillId="35" borderId="20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/>
    </xf>
    <xf numFmtId="0" fontId="20" fillId="18" borderId="22" xfId="0" applyFont="1" applyFill="1" applyBorder="1" applyAlignment="1">
      <alignment horizontal="center" vertical="center"/>
    </xf>
    <xf numFmtId="0" fontId="20" fillId="18" borderId="19" xfId="0" applyFont="1" applyFill="1" applyBorder="1" applyAlignment="1">
      <alignment horizontal="center" vertical="center"/>
    </xf>
    <xf numFmtId="0" fontId="3" fillId="36" borderId="0" xfId="0" applyFont="1" applyFill="1" applyAlignment="1">
      <alignment/>
    </xf>
    <xf numFmtId="0" fontId="4" fillId="36" borderId="0" xfId="0" applyFont="1" applyFill="1" applyAlignment="1">
      <alignment/>
    </xf>
    <xf numFmtId="2" fontId="2" fillId="36" borderId="0" xfId="0" applyNumberFormat="1" applyFont="1" applyFill="1" applyBorder="1" applyAlignment="1">
      <alignment horizontal="center"/>
    </xf>
    <xf numFmtId="0" fontId="3" fillId="36" borderId="0" xfId="0" applyFont="1" applyFill="1" applyBorder="1" applyAlignment="1">
      <alignment horizontal="center" vertical="center"/>
    </xf>
    <xf numFmtId="0" fontId="3" fillId="36" borderId="0" xfId="0" applyFont="1" applyFill="1" applyBorder="1" applyAlignment="1">
      <alignment horizontal="center" vertical="center" wrapText="1"/>
    </xf>
    <xf numFmtId="0" fontId="3" fillId="36" borderId="0" xfId="0" applyFont="1" applyFill="1" applyBorder="1" applyAlignment="1">
      <alignment horizontal="left" vertical="top" wrapText="1"/>
    </xf>
    <xf numFmtId="2" fontId="8" fillId="36" borderId="0" xfId="0" applyNumberFormat="1" applyFont="1" applyFill="1" applyBorder="1" applyAlignment="1">
      <alignment horizontal="center" vertical="center" wrapText="1"/>
    </xf>
    <xf numFmtId="2" fontId="2" fillId="36" borderId="0" xfId="0" applyNumberFormat="1" applyFont="1" applyFill="1" applyBorder="1" applyAlignment="1">
      <alignment horizontal="center" vertical="center"/>
    </xf>
    <xf numFmtId="0" fontId="2" fillId="36" borderId="0" xfId="0" applyFont="1" applyFill="1" applyAlignment="1">
      <alignment/>
    </xf>
    <xf numFmtId="0" fontId="20" fillId="0" borderId="14" xfId="0" applyFont="1" applyBorder="1" applyAlignment="1">
      <alignment horizontal="center" vertical="center"/>
    </xf>
    <xf numFmtId="0" fontId="20" fillId="18" borderId="15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18" borderId="29" xfId="0" applyFont="1" applyFill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18" borderId="20" xfId="0" applyFont="1" applyFill="1" applyBorder="1" applyAlignment="1">
      <alignment horizontal="center" vertical="center"/>
    </xf>
    <xf numFmtId="0" fontId="19" fillId="34" borderId="36" xfId="0" applyFont="1" applyFill="1" applyBorder="1" applyAlignment="1">
      <alignment horizontal="center" vertical="center"/>
    </xf>
    <xf numFmtId="0" fontId="19" fillId="34" borderId="37" xfId="0" applyFont="1" applyFill="1" applyBorder="1" applyAlignment="1">
      <alignment horizontal="center" vertical="center"/>
    </xf>
    <xf numFmtId="0" fontId="19" fillId="34" borderId="38" xfId="0" applyFont="1" applyFill="1" applyBorder="1" applyAlignment="1">
      <alignment horizontal="center" vertical="center"/>
    </xf>
    <xf numFmtId="0" fontId="19" fillId="34" borderId="16" xfId="0" applyFont="1" applyFill="1" applyBorder="1" applyAlignment="1">
      <alignment horizontal="center" vertical="center"/>
    </xf>
    <xf numFmtId="0" fontId="19" fillId="34" borderId="39" xfId="0" applyFont="1" applyFill="1" applyBorder="1" applyAlignment="1">
      <alignment horizontal="center" vertical="center"/>
    </xf>
    <xf numFmtId="0" fontId="19" fillId="34" borderId="40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10" borderId="41" xfId="0" applyFont="1" applyFill="1" applyBorder="1" applyAlignment="1">
      <alignment horizontal="center" vertical="center" wrapText="1"/>
    </xf>
    <xf numFmtId="0" fontId="3" fillId="10" borderId="42" xfId="0" applyFont="1" applyFill="1" applyBorder="1" applyAlignment="1">
      <alignment horizontal="center" vertical="center" wrapText="1"/>
    </xf>
    <xf numFmtId="0" fontId="3" fillId="10" borderId="43" xfId="0" applyFont="1" applyFill="1" applyBorder="1" applyAlignment="1">
      <alignment horizontal="center" vertical="center" wrapText="1"/>
    </xf>
    <xf numFmtId="0" fontId="3" fillId="10" borderId="44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2" fontId="2" fillId="10" borderId="13" xfId="0" applyNumberFormat="1" applyFont="1" applyFill="1" applyBorder="1" applyAlignment="1">
      <alignment horizontal="center" vertical="center"/>
    </xf>
    <xf numFmtId="2" fontId="2" fillId="10" borderId="47" xfId="0" applyNumberFormat="1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10" borderId="16" xfId="0" applyFont="1" applyFill="1" applyBorder="1" applyAlignment="1">
      <alignment horizontal="center" vertical="center" wrapText="1"/>
    </xf>
    <xf numFmtId="0" fontId="3" fillId="10" borderId="39" xfId="0" applyFont="1" applyFill="1" applyBorder="1" applyAlignment="1">
      <alignment horizontal="center" vertical="center" wrapText="1"/>
    </xf>
    <xf numFmtId="0" fontId="3" fillId="10" borderId="40" xfId="0" applyFont="1" applyFill="1" applyBorder="1" applyAlignment="1">
      <alignment horizontal="center" vertical="center" wrapText="1"/>
    </xf>
    <xf numFmtId="0" fontId="3" fillId="10" borderId="48" xfId="0" applyFont="1" applyFill="1" applyBorder="1" applyAlignment="1">
      <alignment horizontal="center" vertical="center" wrapText="1"/>
    </xf>
    <xf numFmtId="0" fontId="3" fillId="10" borderId="49" xfId="0" applyFont="1" applyFill="1" applyBorder="1" applyAlignment="1">
      <alignment horizontal="center" vertical="center" wrapText="1"/>
    </xf>
    <xf numFmtId="0" fontId="3" fillId="10" borderId="5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7" fillId="10" borderId="21" xfId="0" applyFont="1" applyFill="1" applyBorder="1" applyAlignment="1">
      <alignment horizontal="center" vertical="center" wrapText="1"/>
    </xf>
    <xf numFmtId="0" fontId="7" fillId="10" borderId="46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/>
    </xf>
    <xf numFmtId="2" fontId="2" fillId="0" borderId="47" xfId="0" applyNumberFormat="1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10" borderId="21" xfId="0" applyFont="1" applyFill="1" applyBorder="1" applyAlignment="1">
      <alignment horizontal="center" vertical="center" wrapText="1"/>
    </xf>
    <xf numFmtId="0" fontId="2" fillId="10" borderId="46" xfId="0" applyFont="1" applyFill="1" applyBorder="1" applyAlignment="1">
      <alignment horizontal="center" vertical="center" wrapText="1"/>
    </xf>
    <xf numFmtId="0" fontId="3" fillId="32" borderId="51" xfId="0" applyFont="1" applyFill="1" applyBorder="1" applyAlignment="1">
      <alignment horizontal="center" vertical="center" wrapText="1"/>
    </xf>
    <xf numFmtId="0" fontId="3" fillId="32" borderId="52" xfId="0" applyFont="1" applyFill="1" applyBorder="1" applyAlignment="1">
      <alignment horizontal="center" vertical="center" wrapText="1"/>
    </xf>
    <xf numFmtId="0" fontId="3" fillId="32" borderId="53" xfId="0" applyFont="1" applyFill="1" applyBorder="1" applyAlignment="1">
      <alignment horizontal="center" vertical="center" wrapText="1"/>
    </xf>
    <xf numFmtId="0" fontId="4" fillId="10" borderId="36" xfId="0" applyFont="1" applyFill="1" applyBorder="1" applyAlignment="1">
      <alignment horizontal="center" vertical="center" wrapText="1"/>
    </xf>
    <xf numFmtId="0" fontId="4" fillId="10" borderId="54" xfId="0" applyFont="1" applyFill="1" applyBorder="1" applyAlignment="1">
      <alignment horizontal="center" vertical="center" wrapText="1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K83"/>
  <sheetViews>
    <sheetView showGridLines="0" tabSelected="1" view="pageLayout" zoomScale="120" zoomScalePageLayoutView="120" workbookViewId="0" topLeftCell="A1">
      <selection activeCell="Y44" sqref="Y44"/>
    </sheetView>
  </sheetViews>
  <sheetFormatPr defaultColWidth="9.140625" defaultRowHeight="12.75"/>
  <cols>
    <col min="1" max="1" width="4.140625" style="1" customWidth="1"/>
    <col min="2" max="2" width="0.42578125" style="1" customWidth="1"/>
    <col min="3" max="3" width="2.28125" style="1" customWidth="1"/>
    <col min="4" max="4" width="10.57421875" style="35" customWidth="1"/>
    <col min="5" max="5" width="5.28125" style="32" customWidth="1"/>
    <col min="6" max="6" width="4.7109375" style="2" bestFit="1" customWidth="1"/>
    <col min="7" max="7" width="5.57421875" style="2" customWidth="1"/>
    <col min="8" max="8" width="5.140625" style="2" bestFit="1" customWidth="1"/>
    <col min="9" max="9" width="4.421875" style="2" bestFit="1" customWidth="1"/>
    <col min="10" max="10" width="4.140625" style="2" bestFit="1" customWidth="1"/>
    <col min="11" max="11" width="4.28125" style="2" bestFit="1" customWidth="1"/>
    <col min="12" max="12" width="4.140625" style="2" bestFit="1" customWidth="1"/>
    <col min="13" max="13" width="5.140625" style="62" bestFit="1" customWidth="1"/>
    <col min="14" max="14" width="4.8515625" style="2" customWidth="1"/>
    <col min="15" max="15" width="6.00390625" style="2" customWidth="1"/>
    <col min="16" max="16" width="4.8515625" style="2" customWidth="1"/>
    <col min="17" max="17" width="6.00390625" style="2" customWidth="1"/>
    <col min="18" max="18" width="6.7109375" style="2" customWidth="1"/>
    <col min="19" max="19" width="4.7109375" style="1" customWidth="1"/>
    <col min="20" max="20" width="5.7109375" style="157" bestFit="1" customWidth="1"/>
    <col min="21" max="21" width="5.8515625" style="3" customWidth="1"/>
    <col min="22" max="22" width="16.57421875" style="14" bestFit="1" customWidth="1"/>
    <col min="23" max="23" width="9.140625" style="1" customWidth="1"/>
    <col min="24" max="24" width="12.57421875" style="4" customWidth="1"/>
    <col min="25" max="25" width="5.00390625" style="4" customWidth="1"/>
    <col min="26" max="27" width="2.7109375" style="4" customWidth="1"/>
    <col min="28" max="28" width="3.8515625" style="4" customWidth="1"/>
    <col min="29" max="29" width="10.140625" style="4" customWidth="1"/>
    <col min="30" max="30" width="9.140625" style="1" customWidth="1"/>
    <col min="31" max="31" width="10.8515625" style="4" bestFit="1" customWidth="1"/>
    <col min="32" max="32" width="4.28125" style="4" customWidth="1"/>
    <col min="33" max="33" width="4.140625" style="4" customWidth="1"/>
    <col min="34" max="34" width="1.28515625" style="4" bestFit="1" customWidth="1"/>
    <col min="35" max="35" width="4.140625" style="4" customWidth="1"/>
    <col min="36" max="36" width="5.8515625" style="4" customWidth="1"/>
    <col min="37" max="37" width="11.7109375" style="4" customWidth="1"/>
    <col min="38" max="38" width="9.140625" style="4" customWidth="1"/>
    <col min="39" max="16384" width="9.140625" style="1" customWidth="1"/>
  </cols>
  <sheetData>
    <row r="1" ht="4.5" customHeight="1" thickBot="1"/>
    <row r="2" spans="3:19" ht="14.25" customHeight="1" thickBot="1">
      <c r="C2" s="189" t="s">
        <v>54</v>
      </c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1"/>
      <c r="Q2" s="7"/>
      <c r="R2" s="7"/>
      <c r="S2" s="12"/>
    </row>
    <row r="3" spans="3:19" ht="6.75" customHeight="1">
      <c r="C3" s="192" t="s">
        <v>0</v>
      </c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4"/>
      <c r="Q3" s="7"/>
      <c r="R3" s="7"/>
      <c r="S3" s="12"/>
    </row>
    <row r="4" spans="3:19" ht="5.25" customHeight="1" thickBot="1">
      <c r="C4" s="195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7"/>
      <c r="Q4" s="7"/>
      <c r="R4" s="7"/>
      <c r="S4" s="12"/>
    </row>
    <row r="5" spans="3:30" s="4" customFormat="1" ht="13.5" customHeight="1" thickBot="1">
      <c r="C5" s="17"/>
      <c r="D5" s="36" t="s">
        <v>1</v>
      </c>
      <c r="E5" s="33" t="s">
        <v>2</v>
      </c>
      <c r="F5" s="18" t="s">
        <v>3</v>
      </c>
      <c r="G5" s="18" t="s">
        <v>4</v>
      </c>
      <c r="H5" s="18" t="s">
        <v>5</v>
      </c>
      <c r="I5" s="18" t="s">
        <v>6</v>
      </c>
      <c r="J5" s="18" t="s">
        <v>7</v>
      </c>
      <c r="K5" s="18" t="s">
        <v>8</v>
      </c>
      <c r="L5" s="18" t="s">
        <v>9</v>
      </c>
      <c r="M5" s="18" t="s">
        <v>108</v>
      </c>
      <c r="N5" s="198" t="s">
        <v>104</v>
      </c>
      <c r="O5" s="184" t="s">
        <v>127</v>
      </c>
      <c r="P5" s="198" t="s">
        <v>105</v>
      </c>
      <c r="Q5" s="83"/>
      <c r="R5" s="63"/>
      <c r="S5" s="16"/>
      <c r="T5" s="158"/>
      <c r="U5" s="3"/>
      <c r="V5" s="14"/>
      <c r="W5" s="1"/>
      <c r="AD5" s="1"/>
    </row>
    <row r="6" spans="3:30" s="4" customFormat="1" ht="13.5" customHeight="1" thickBot="1">
      <c r="C6" s="221" t="s">
        <v>10</v>
      </c>
      <c r="D6" s="222"/>
      <c r="E6" s="108">
        <v>41244</v>
      </c>
      <c r="F6" s="109">
        <v>41258</v>
      </c>
      <c r="G6" s="109">
        <v>41286</v>
      </c>
      <c r="H6" s="109">
        <v>41293</v>
      </c>
      <c r="I6" s="109">
        <v>41307</v>
      </c>
      <c r="J6" s="109">
        <v>41321</v>
      </c>
      <c r="K6" s="110">
        <v>41349</v>
      </c>
      <c r="L6" s="110">
        <v>41370</v>
      </c>
      <c r="M6" s="110">
        <v>41377</v>
      </c>
      <c r="N6" s="199"/>
      <c r="O6" s="185"/>
      <c r="P6" s="199"/>
      <c r="Q6" s="83"/>
      <c r="R6" s="63"/>
      <c r="S6" s="16"/>
      <c r="T6" s="158"/>
      <c r="U6" s="3"/>
      <c r="V6" s="14"/>
      <c r="W6" s="1"/>
      <c r="AD6" s="1"/>
    </row>
    <row r="7" spans="3:30" s="4" customFormat="1" ht="18.75" customHeight="1" thickBot="1">
      <c r="C7" s="25"/>
      <c r="D7" s="37" t="s">
        <v>11</v>
      </c>
      <c r="E7" s="26" t="s">
        <v>121</v>
      </c>
      <c r="F7" s="22" t="s">
        <v>83</v>
      </c>
      <c r="G7" s="22" t="s">
        <v>90</v>
      </c>
      <c r="H7" s="22" t="s">
        <v>70</v>
      </c>
      <c r="I7" s="22" t="s">
        <v>83</v>
      </c>
      <c r="J7" s="22" t="s">
        <v>67</v>
      </c>
      <c r="K7" s="22" t="s">
        <v>107</v>
      </c>
      <c r="L7" s="22" t="s">
        <v>107</v>
      </c>
      <c r="M7" s="26" t="s">
        <v>121</v>
      </c>
      <c r="N7" s="200"/>
      <c r="O7" s="186"/>
      <c r="P7" s="200"/>
      <c r="Q7" s="83"/>
      <c r="R7" s="63"/>
      <c r="S7" s="16"/>
      <c r="T7" s="158"/>
      <c r="U7" s="1"/>
      <c r="V7" s="1"/>
      <c r="W7" s="1"/>
      <c r="AD7" s="1"/>
    </row>
    <row r="8" spans="3:19" ht="11.25" customHeight="1">
      <c r="C8" s="216" t="s">
        <v>13</v>
      </c>
      <c r="D8" s="201" t="s">
        <v>62</v>
      </c>
      <c r="E8" s="111">
        <v>3</v>
      </c>
      <c r="F8" s="112">
        <v>3</v>
      </c>
      <c r="G8" s="112">
        <v>3</v>
      </c>
      <c r="H8" s="112">
        <v>3</v>
      </c>
      <c r="I8" s="112">
        <v>3</v>
      </c>
      <c r="J8" s="112">
        <v>3</v>
      </c>
      <c r="K8" s="112">
        <v>3</v>
      </c>
      <c r="L8" s="113">
        <v>3</v>
      </c>
      <c r="M8" s="113">
        <v>3</v>
      </c>
      <c r="N8" s="182">
        <f>E9+F9+G9+H9+I9+J9+K9+M9+L9</f>
        <v>4731</v>
      </c>
      <c r="O8" s="187">
        <f>AVERAGE(E9:M9)</f>
        <v>525.6666666666666</v>
      </c>
      <c r="P8" s="180">
        <f>E8+F8+G8+H8+I8+J8+K8+M8+L8</f>
        <v>27</v>
      </c>
      <c r="Q8" s="8"/>
      <c r="R8" s="15"/>
      <c r="S8" s="10"/>
    </row>
    <row r="9" spans="3:19" ht="11.25" customHeight="1" thickBot="1">
      <c r="C9" s="217"/>
      <c r="D9" s="202"/>
      <c r="E9" s="114">
        <v>507</v>
      </c>
      <c r="F9" s="115">
        <f>168+173+178</f>
        <v>519</v>
      </c>
      <c r="G9" s="115">
        <f>177+176+181</f>
        <v>534</v>
      </c>
      <c r="H9" s="115">
        <v>541</v>
      </c>
      <c r="I9" s="115">
        <v>523</v>
      </c>
      <c r="J9" s="115">
        <v>529</v>
      </c>
      <c r="K9" s="115">
        <v>516</v>
      </c>
      <c r="L9" s="116">
        <f>180+174+174</f>
        <v>528</v>
      </c>
      <c r="M9" s="116">
        <f>181+173+180</f>
        <v>534</v>
      </c>
      <c r="N9" s="183"/>
      <c r="O9" s="188"/>
      <c r="P9" s="181"/>
      <c r="Q9" s="8"/>
      <c r="R9" s="15"/>
      <c r="S9" s="10"/>
    </row>
    <row r="10" spans="3:19" ht="11.25" customHeight="1">
      <c r="C10" s="214" t="s">
        <v>14</v>
      </c>
      <c r="D10" s="203" t="s">
        <v>73</v>
      </c>
      <c r="E10" s="40">
        <v>3</v>
      </c>
      <c r="F10" s="23">
        <v>3</v>
      </c>
      <c r="G10" s="23">
        <v>3</v>
      </c>
      <c r="H10" s="23">
        <v>3</v>
      </c>
      <c r="I10" s="23">
        <v>3</v>
      </c>
      <c r="J10" s="23">
        <v>1</v>
      </c>
      <c r="K10" s="23">
        <v>3</v>
      </c>
      <c r="L10" s="24">
        <v>3</v>
      </c>
      <c r="M10" s="24">
        <v>3</v>
      </c>
      <c r="N10" s="205">
        <f>E11+F11+G11+H11+I11+J11+K11+M11+L11</f>
        <v>4749</v>
      </c>
      <c r="O10" s="209">
        <f>AVERAGE(E11:M11)</f>
        <v>527.6666666666666</v>
      </c>
      <c r="P10" s="207">
        <f>E10+F10+G10+H10+I10+J10+K10+M10+L10</f>
        <v>25</v>
      </c>
      <c r="Q10" s="8"/>
      <c r="R10" s="15"/>
      <c r="S10" s="10"/>
    </row>
    <row r="11" spans="3:19" ht="11.25" customHeight="1" thickBot="1">
      <c r="C11" s="215"/>
      <c r="D11" s="204"/>
      <c r="E11" s="51">
        <v>533</v>
      </c>
      <c r="F11" s="36">
        <f>176+178+178</f>
        <v>532</v>
      </c>
      <c r="G11" s="36">
        <f>178+177+168</f>
        <v>523</v>
      </c>
      <c r="H11" s="36">
        <v>535</v>
      </c>
      <c r="I11" s="36">
        <f>175+177+175</f>
        <v>527</v>
      </c>
      <c r="J11" s="36">
        <v>506</v>
      </c>
      <c r="K11" s="36">
        <v>539</v>
      </c>
      <c r="L11" s="52">
        <f>174+180+170</f>
        <v>524</v>
      </c>
      <c r="M11" s="52">
        <f>175+179+176</f>
        <v>530</v>
      </c>
      <c r="N11" s="206"/>
      <c r="O11" s="210"/>
      <c r="P11" s="208"/>
      <c r="Q11" s="8"/>
      <c r="R11" s="15"/>
      <c r="S11" s="10"/>
    </row>
    <row r="12" spans="3:19" ht="11.25" customHeight="1">
      <c r="C12" s="216" t="s">
        <v>15</v>
      </c>
      <c r="D12" s="201" t="s">
        <v>65</v>
      </c>
      <c r="E12" s="111">
        <v>3</v>
      </c>
      <c r="F12" s="112">
        <v>3</v>
      </c>
      <c r="G12" s="112">
        <v>3</v>
      </c>
      <c r="H12" s="112">
        <v>1</v>
      </c>
      <c r="I12" s="112">
        <v>3</v>
      </c>
      <c r="J12" s="112">
        <v>3</v>
      </c>
      <c r="K12" s="112">
        <v>3</v>
      </c>
      <c r="L12" s="113">
        <v>1</v>
      </c>
      <c r="M12" s="113">
        <v>3</v>
      </c>
      <c r="N12" s="182">
        <f>E13+F13+G13+H13+I13+J13+K13+M13+L13</f>
        <v>4617</v>
      </c>
      <c r="O12" s="187">
        <f>AVERAGE(E13:M13)</f>
        <v>513</v>
      </c>
      <c r="P12" s="180">
        <f>E12+F12+G12+H12+I12+J12+K12+M12+L12</f>
        <v>23</v>
      </c>
      <c r="Q12" s="8"/>
      <c r="R12" s="10"/>
      <c r="S12" s="10"/>
    </row>
    <row r="13" spans="3:19" ht="11.25" customHeight="1" thickBot="1">
      <c r="C13" s="217"/>
      <c r="D13" s="202"/>
      <c r="E13" s="114">
        <v>507</v>
      </c>
      <c r="F13" s="115">
        <f>181+181+155</f>
        <v>517</v>
      </c>
      <c r="G13" s="115">
        <f>175+156+175</f>
        <v>506</v>
      </c>
      <c r="H13" s="115">
        <v>492</v>
      </c>
      <c r="I13" s="115">
        <v>508</v>
      </c>
      <c r="J13" s="115">
        <v>513</v>
      </c>
      <c r="K13" s="115">
        <v>521</v>
      </c>
      <c r="L13" s="116">
        <f>176+178+170</f>
        <v>524</v>
      </c>
      <c r="M13" s="116">
        <f>179+178+172</f>
        <v>529</v>
      </c>
      <c r="N13" s="183"/>
      <c r="O13" s="188"/>
      <c r="P13" s="181"/>
      <c r="Q13" s="8"/>
      <c r="R13" s="10"/>
      <c r="S13" s="10"/>
    </row>
    <row r="14" spans="3:19" ht="11.25" customHeight="1" thickBot="1">
      <c r="C14" s="214" t="s">
        <v>16</v>
      </c>
      <c r="D14" s="203" t="s">
        <v>70</v>
      </c>
      <c r="E14" s="40">
        <v>3</v>
      </c>
      <c r="F14" s="23">
        <v>1</v>
      </c>
      <c r="G14" s="23">
        <v>3</v>
      </c>
      <c r="H14" s="23">
        <v>1</v>
      </c>
      <c r="I14" s="23">
        <v>3</v>
      </c>
      <c r="J14" s="23">
        <v>1</v>
      </c>
      <c r="K14" s="23">
        <v>3</v>
      </c>
      <c r="L14" s="24">
        <v>3</v>
      </c>
      <c r="M14" s="24">
        <v>1</v>
      </c>
      <c r="N14" s="205">
        <f>E15+F15+G15+H15+I15+J15+K15+M15+L15</f>
        <v>4551</v>
      </c>
      <c r="O14" s="209">
        <f>AVERAGE(E15:M15)</f>
        <v>505.6666666666667</v>
      </c>
      <c r="P14" s="207">
        <f>E14+F14+G14+H14+I14+J14+K14+M14+L14</f>
        <v>19</v>
      </c>
      <c r="Q14" s="8"/>
      <c r="R14" s="10"/>
      <c r="S14" s="10"/>
    </row>
    <row r="15" spans="3:37" ht="11.25" customHeight="1" thickBot="1">
      <c r="C15" s="215"/>
      <c r="D15" s="204"/>
      <c r="E15" s="41">
        <v>510</v>
      </c>
      <c r="F15" s="29">
        <f>177+163+176</f>
        <v>516</v>
      </c>
      <c r="G15" s="29">
        <f>181+168+167</f>
        <v>516</v>
      </c>
      <c r="H15" s="29">
        <f>165+179+170</f>
        <v>514</v>
      </c>
      <c r="I15" s="29">
        <f>166+155+169</f>
        <v>490</v>
      </c>
      <c r="J15" s="29">
        <v>472</v>
      </c>
      <c r="K15" s="29">
        <v>498</v>
      </c>
      <c r="L15" s="30">
        <f>172+177+163</f>
        <v>512</v>
      </c>
      <c r="M15" s="30">
        <f>183+169+171</f>
        <v>523</v>
      </c>
      <c r="N15" s="206"/>
      <c r="O15" s="210"/>
      <c r="P15" s="208"/>
      <c r="Q15" s="8"/>
      <c r="R15" s="10"/>
      <c r="S15" s="10"/>
      <c r="U15" s="178" t="s">
        <v>158</v>
      </c>
      <c r="V15" s="178"/>
      <c r="W15" s="120"/>
      <c r="X15" s="175" t="s">
        <v>157</v>
      </c>
      <c r="Y15" s="176"/>
      <c r="Z15" s="176"/>
      <c r="AA15" s="176"/>
      <c r="AB15" s="176"/>
      <c r="AC15" s="177"/>
      <c r="AD15" s="121"/>
      <c r="AE15" s="172" t="s">
        <v>156</v>
      </c>
      <c r="AF15" s="173"/>
      <c r="AG15" s="173"/>
      <c r="AH15" s="173"/>
      <c r="AI15" s="173"/>
      <c r="AJ15" s="173"/>
      <c r="AK15" s="174"/>
    </row>
    <row r="16" spans="3:37" ht="11.25" customHeight="1">
      <c r="C16" s="216" t="s">
        <v>17</v>
      </c>
      <c r="D16" s="201" t="s">
        <v>78</v>
      </c>
      <c r="E16" s="111">
        <v>1</v>
      </c>
      <c r="F16" s="112">
        <v>3</v>
      </c>
      <c r="G16" s="112">
        <v>1</v>
      </c>
      <c r="H16" s="112">
        <v>3</v>
      </c>
      <c r="I16" s="112">
        <v>1</v>
      </c>
      <c r="J16" s="112">
        <v>3</v>
      </c>
      <c r="K16" s="112">
        <v>3</v>
      </c>
      <c r="L16" s="113">
        <v>1</v>
      </c>
      <c r="M16" s="113">
        <v>3</v>
      </c>
      <c r="N16" s="182">
        <f>E17+F17+G17+H17+I17+J17+K17+M17+L17</f>
        <v>4408</v>
      </c>
      <c r="O16" s="187">
        <f>AVERAGE(E17:M17)</f>
        <v>489.77777777777777</v>
      </c>
      <c r="P16" s="180">
        <f>E16+F16+G16+H16+I16+J16+K16+M16+L16</f>
        <v>19</v>
      </c>
      <c r="Q16" s="8"/>
      <c r="R16" s="10"/>
      <c r="U16" s="179" t="s">
        <v>155</v>
      </c>
      <c r="V16" s="179"/>
      <c r="W16" s="122"/>
      <c r="X16" s="128" t="str">
        <f>V29</f>
        <v>SD SELCI</v>
      </c>
      <c r="Y16" s="129">
        <v>469</v>
      </c>
      <c r="Z16" s="130">
        <v>1</v>
      </c>
      <c r="AA16" s="131">
        <v>3</v>
      </c>
      <c r="AB16" s="132">
        <v>500</v>
      </c>
      <c r="AC16" s="133" t="str">
        <f>V36</f>
        <v>SD TRNOVSKA B</v>
      </c>
      <c r="AD16" s="121"/>
      <c r="AE16" s="128" t="str">
        <f>V32</f>
        <v>OSEK B</v>
      </c>
      <c r="AF16" s="129">
        <v>503</v>
      </c>
      <c r="AG16" s="155">
        <v>1</v>
      </c>
      <c r="AH16" s="166" t="s">
        <v>128</v>
      </c>
      <c r="AI16" s="167">
        <v>3</v>
      </c>
      <c r="AJ16" s="132">
        <v>523</v>
      </c>
      <c r="AK16" s="133" t="str">
        <f>V28</f>
        <v>SD TRNOVSKA A</v>
      </c>
    </row>
    <row r="17" spans="3:37" ht="11.25" customHeight="1" thickBot="1">
      <c r="C17" s="217"/>
      <c r="D17" s="202"/>
      <c r="E17" s="117">
        <v>477</v>
      </c>
      <c r="F17" s="118">
        <f>175+162+154</f>
        <v>491</v>
      </c>
      <c r="G17" s="118">
        <f>162+161+152</f>
        <v>475</v>
      </c>
      <c r="H17" s="118">
        <v>493</v>
      </c>
      <c r="I17" s="118">
        <v>503</v>
      </c>
      <c r="J17" s="118">
        <v>498</v>
      </c>
      <c r="K17" s="118">
        <v>495</v>
      </c>
      <c r="L17" s="119">
        <f>164+171+155</f>
        <v>490</v>
      </c>
      <c r="M17" s="119">
        <f>170+154+162</f>
        <v>486</v>
      </c>
      <c r="N17" s="183"/>
      <c r="O17" s="188"/>
      <c r="P17" s="181"/>
      <c r="Q17" s="8"/>
      <c r="R17" s="10"/>
      <c r="U17" s="123"/>
      <c r="V17" s="123"/>
      <c r="W17" s="121"/>
      <c r="X17" s="134" t="str">
        <f>V30</f>
        <v>SD VELKA B</v>
      </c>
      <c r="Y17" s="135">
        <v>484</v>
      </c>
      <c r="Z17" s="136">
        <v>1</v>
      </c>
      <c r="AA17" s="137">
        <v>3</v>
      </c>
      <c r="AB17" s="138">
        <v>507</v>
      </c>
      <c r="AC17" s="139" t="str">
        <f>V35</f>
        <v>SD VELKA A</v>
      </c>
      <c r="AD17" s="121"/>
      <c r="AE17" s="134" t="str">
        <f>V31</f>
        <v>VITOMARCI</v>
      </c>
      <c r="AF17" s="135">
        <v>490</v>
      </c>
      <c r="AG17" s="149">
        <v>3</v>
      </c>
      <c r="AH17" s="168" t="s">
        <v>128</v>
      </c>
      <c r="AI17" s="169">
        <v>1</v>
      </c>
      <c r="AJ17" s="138">
        <v>457</v>
      </c>
      <c r="AK17" s="139" t="str">
        <f>V29</f>
        <v>SD SELCI</v>
      </c>
    </row>
    <row r="18" spans="3:37" ht="11.25" customHeight="1">
      <c r="C18" s="214" t="s">
        <v>18</v>
      </c>
      <c r="D18" s="203" t="s">
        <v>106</v>
      </c>
      <c r="E18" s="40">
        <v>3</v>
      </c>
      <c r="F18" s="23">
        <v>3</v>
      </c>
      <c r="G18" s="23">
        <v>1</v>
      </c>
      <c r="H18" s="23">
        <v>1</v>
      </c>
      <c r="I18" s="23">
        <v>1</v>
      </c>
      <c r="J18" s="23">
        <v>3</v>
      </c>
      <c r="K18" s="23">
        <v>1</v>
      </c>
      <c r="L18" s="24">
        <v>3</v>
      </c>
      <c r="M18" s="24">
        <v>1</v>
      </c>
      <c r="N18" s="205">
        <f>E19+F19+G19+H19+I19+J19+K19+M19+L19</f>
        <v>4371</v>
      </c>
      <c r="O18" s="209">
        <f>AVERAGE(E19:M19)</f>
        <v>485.6666666666667</v>
      </c>
      <c r="P18" s="207">
        <f>E18+F18+G18+H18+I18+J18+K18+M18+L18</f>
        <v>17</v>
      </c>
      <c r="Q18" s="8"/>
      <c r="R18" s="10"/>
      <c r="S18" s="10"/>
      <c r="U18" s="123"/>
      <c r="V18" s="123"/>
      <c r="W18" s="121"/>
      <c r="X18" s="134" t="str">
        <f>V31</f>
        <v>VITOMARCI</v>
      </c>
      <c r="Y18" s="135">
        <v>510</v>
      </c>
      <c r="Z18" s="136">
        <v>3</v>
      </c>
      <c r="AA18" s="137">
        <v>1</v>
      </c>
      <c r="AB18" s="138">
        <v>472</v>
      </c>
      <c r="AC18" s="139" t="str">
        <f>V34</f>
        <v>CERKVENJAK</v>
      </c>
      <c r="AD18" s="121"/>
      <c r="AE18" s="134" t="str">
        <f>V33</f>
        <v>SD OSEK A</v>
      </c>
      <c r="AF18" s="135">
        <v>527</v>
      </c>
      <c r="AG18" s="149">
        <v>3</v>
      </c>
      <c r="AH18" s="168" t="s">
        <v>128</v>
      </c>
      <c r="AI18" s="169">
        <v>1</v>
      </c>
      <c r="AJ18" s="138">
        <v>489</v>
      </c>
      <c r="AK18" s="139" t="str">
        <f>V36</f>
        <v>SD TRNOVSKA B</v>
      </c>
    </row>
    <row r="19" spans="3:37" ht="11.25" customHeight="1" thickBot="1">
      <c r="C19" s="215"/>
      <c r="D19" s="204"/>
      <c r="E19" s="41">
        <v>500</v>
      </c>
      <c r="F19" s="29">
        <f>159+166+159</f>
        <v>484</v>
      </c>
      <c r="G19" s="29">
        <f>174+167+133</f>
        <v>474</v>
      </c>
      <c r="H19" s="29">
        <v>474</v>
      </c>
      <c r="I19" s="29">
        <f>158+171+160</f>
        <v>489</v>
      </c>
      <c r="J19" s="29">
        <v>494</v>
      </c>
      <c r="K19" s="29">
        <v>481</v>
      </c>
      <c r="L19" s="30">
        <f>158+169+156</f>
        <v>483</v>
      </c>
      <c r="M19" s="30">
        <f>163+162+167</f>
        <v>492</v>
      </c>
      <c r="N19" s="206"/>
      <c r="O19" s="210"/>
      <c r="P19" s="208"/>
      <c r="Q19" s="8"/>
      <c r="R19" s="10"/>
      <c r="S19" s="10"/>
      <c r="U19" s="123"/>
      <c r="V19" s="123"/>
      <c r="W19" s="121"/>
      <c r="X19" s="134" t="str">
        <f>V32</f>
        <v>OSEK B</v>
      </c>
      <c r="Y19" s="135">
        <v>477</v>
      </c>
      <c r="Z19" s="136">
        <v>1</v>
      </c>
      <c r="AA19" s="137">
        <v>3</v>
      </c>
      <c r="AB19" s="138">
        <v>533</v>
      </c>
      <c r="AC19" s="139" t="str">
        <f>V33</f>
        <v>SD OSEK A</v>
      </c>
      <c r="AD19" s="121"/>
      <c r="AE19" s="134" t="str">
        <f>V34</f>
        <v>CERKVENJAK</v>
      </c>
      <c r="AF19" s="135">
        <v>499</v>
      </c>
      <c r="AG19" s="149">
        <v>1</v>
      </c>
      <c r="AH19" s="168" t="s">
        <v>128</v>
      </c>
      <c r="AI19" s="169">
        <v>3</v>
      </c>
      <c r="AJ19" s="138">
        <v>508</v>
      </c>
      <c r="AK19" s="139" t="str">
        <f>V35</f>
        <v>SD VELKA A</v>
      </c>
    </row>
    <row r="20" spans="3:37" ht="11.25" customHeight="1" thickBot="1">
      <c r="C20" s="216" t="s">
        <v>19</v>
      </c>
      <c r="D20" s="201" t="s">
        <v>68</v>
      </c>
      <c r="E20" s="111">
        <v>1</v>
      </c>
      <c r="F20" s="112">
        <v>1</v>
      </c>
      <c r="G20" s="112">
        <v>1</v>
      </c>
      <c r="H20" s="112">
        <v>3</v>
      </c>
      <c r="I20" s="112">
        <v>1</v>
      </c>
      <c r="J20" s="112">
        <v>1</v>
      </c>
      <c r="K20" s="112">
        <v>1</v>
      </c>
      <c r="L20" s="113">
        <v>3</v>
      </c>
      <c r="M20" s="113">
        <v>3</v>
      </c>
      <c r="N20" s="182">
        <f>E21+F21+G21+H21+I21+J21+K21+M21+L21</f>
        <v>4371</v>
      </c>
      <c r="O20" s="187">
        <f>AVERAGE(E21:M21)</f>
        <v>485.6666666666667</v>
      </c>
      <c r="P20" s="180">
        <f>E20+F20+G20+H20+I20+J20+K20+M20+L20</f>
        <v>15</v>
      </c>
      <c r="Q20" s="8"/>
      <c r="R20" s="10"/>
      <c r="S20" s="10"/>
      <c r="U20" s="123"/>
      <c r="V20" s="123"/>
      <c r="W20" s="121"/>
      <c r="X20" s="140" t="str">
        <f>V28</f>
        <v>SD TRNOVSKA A</v>
      </c>
      <c r="Y20" s="141">
        <v>507</v>
      </c>
      <c r="Z20" s="142">
        <v>3</v>
      </c>
      <c r="AA20" s="143">
        <v>0</v>
      </c>
      <c r="AB20" s="144">
        <v>0</v>
      </c>
      <c r="AC20" s="145" t="str">
        <f>V37</f>
        <v>PROSTI</v>
      </c>
      <c r="AD20" s="121"/>
      <c r="AE20" s="140" t="str">
        <f>V30</f>
        <v>SD VELKA B</v>
      </c>
      <c r="AF20" s="141">
        <v>467</v>
      </c>
      <c r="AG20" s="152">
        <v>3</v>
      </c>
      <c r="AH20" s="170" t="s">
        <v>128</v>
      </c>
      <c r="AI20" s="171">
        <v>0</v>
      </c>
      <c r="AJ20" s="144">
        <v>0</v>
      </c>
      <c r="AK20" s="145" t="str">
        <f>V37</f>
        <v>PROSTI</v>
      </c>
    </row>
    <row r="21" spans="3:37" ht="11.25" customHeight="1" thickBot="1">
      <c r="C21" s="217"/>
      <c r="D21" s="202"/>
      <c r="E21" s="114">
        <v>472</v>
      </c>
      <c r="F21" s="115">
        <f>165+180+111</f>
        <v>456</v>
      </c>
      <c r="G21" s="115">
        <f>169+138+177</f>
        <v>484</v>
      </c>
      <c r="H21" s="115">
        <v>488</v>
      </c>
      <c r="I21" s="115">
        <v>499</v>
      </c>
      <c r="J21" s="115">
        <v>466</v>
      </c>
      <c r="K21" s="115">
        <v>508</v>
      </c>
      <c r="L21" s="116">
        <f>176+166+166</f>
        <v>508</v>
      </c>
      <c r="M21" s="116">
        <v>490</v>
      </c>
      <c r="N21" s="183"/>
      <c r="O21" s="188"/>
      <c r="P21" s="181"/>
      <c r="Q21" s="8"/>
      <c r="R21" s="10"/>
      <c r="S21" s="10"/>
      <c r="U21" s="123"/>
      <c r="V21" s="123"/>
      <c r="W21" s="121"/>
      <c r="X21" s="146"/>
      <c r="Y21" s="146"/>
      <c r="Z21" s="146"/>
      <c r="AA21" s="146"/>
      <c r="AB21" s="146"/>
      <c r="AC21" s="146"/>
      <c r="AD21" s="121"/>
      <c r="AE21" s="146"/>
      <c r="AF21" s="146"/>
      <c r="AG21" s="146"/>
      <c r="AH21" s="146"/>
      <c r="AI21" s="146"/>
      <c r="AJ21" s="146"/>
      <c r="AK21" s="146"/>
    </row>
    <row r="22" spans="3:37" ht="11.25" customHeight="1" thickBot="1">
      <c r="C22" s="214" t="s">
        <v>20</v>
      </c>
      <c r="D22" s="203" t="s">
        <v>66</v>
      </c>
      <c r="E22" s="40">
        <v>1</v>
      </c>
      <c r="F22" s="23">
        <v>1</v>
      </c>
      <c r="G22" s="23">
        <v>1</v>
      </c>
      <c r="H22" s="23">
        <v>3</v>
      </c>
      <c r="I22" s="23">
        <v>3</v>
      </c>
      <c r="J22" s="23">
        <v>3</v>
      </c>
      <c r="K22" s="23">
        <v>1</v>
      </c>
      <c r="L22" s="24">
        <v>1</v>
      </c>
      <c r="M22" s="24">
        <v>1</v>
      </c>
      <c r="N22" s="205">
        <f>E23+F23+G23+H23+I23+J23+K23+M23+L23</f>
        <v>3977</v>
      </c>
      <c r="O22" s="209">
        <f>AVERAGE(E23:M23)</f>
        <v>441.8888888888889</v>
      </c>
      <c r="P22" s="207">
        <f>E22+F22+G22+H22+I22+J22+K22+M22+L22</f>
        <v>15</v>
      </c>
      <c r="Q22" s="8"/>
      <c r="R22" s="10"/>
      <c r="S22" s="10"/>
      <c r="U22" s="123"/>
      <c r="V22" s="123"/>
      <c r="W22" s="121"/>
      <c r="X22" s="175" t="s">
        <v>154</v>
      </c>
      <c r="Y22" s="176"/>
      <c r="Z22" s="176"/>
      <c r="AA22" s="176"/>
      <c r="AB22" s="176"/>
      <c r="AC22" s="177"/>
      <c r="AD22" s="121"/>
      <c r="AE22" s="172" t="s">
        <v>153</v>
      </c>
      <c r="AF22" s="173"/>
      <c r="AG22" s="173"/>
      <c r="AH22" s="173"/>
      <c r="AI22" s="173"/>
      <c r="AJ22" s="173"/>
      <c r="AK22" s="174"/>
    </row>
    <row r="23" spans="3:37" ht="11.25" customHeight="1" thickBot="1">
      <c r="C23" s="215"/>
      <c r="D23" s="204"/>
      <c r="E23" s="41">
        <v>484</v>
      </c>
      <c r="F23" s="29">
        <f>161+144+164</f>
        <v>469</v>
      </c>
      <c r="G23" s="29">
        <f>147+172</f>
        <v>319</v>
      </c>
      <c r="H23" s="29">
        <v>484</v>
      </c>
      <c r="I23" s="29">
        <v>467</v>
      </c>
      <c r="J23" s="29">
        <v>476</v>
      </c>
      <c r="K23" s="29">
        <v>471</v>
      </c>
      <c r="L23" s="30">
        <f>174+156+156</f>
        <v>486</v>
      </c>
      <c r="M23" s="30">
        <f>174+147</f>
        <v>321</v>
      </c>
      <c r="N23" s="206"/>
      <c r="O23" s="210"/>
      <c r="P23" s="208"/>
      <c r="Q23" s="8"/>
      <c r="R23" s="10"/>
      <c r="S23" s="10"/>
      <c r="U23" s="123"/>
      <c r="V23" s="123"/>
      <c r="W23" s="121"/>
      <c r="X23" s="128" t="str">
        <f>V28</f>
        <v>SD TRNOVSKA A</v>
      </c>
      <c r="Y23" s="129">
        <v>519</v>
      </c>
      <c r="Z23" s="130">
        <v>3</v>
      </c>
      <c r="AA23" s="147">
        <v>1</v>
      </c>
      <c r="AB23" s="132">
        <v>480</v>
      </c>
      <c r="AC23" s="133" t="str">
        <f>V29</f>
        <v>SD SELCI</v>
      </c>
      <c r="AD23" s="121"/>
      <c r="AE23" s="128" t="str">
        <f>V28</f>
        <v>SD TRNOVSKA A</v>
      </c>
      <c r="AF23" s="129">
        <v>529</v>
      </c>
      <c r="AG23" s="155">
        <v>3</v>
      </c>
      <c r="AH23" s="166" t="s">
        <v>128</v>
      </c>
      <c r="AI23" s="167">
        <v>1</v>
      </c>
      <c r="AJ23" s="132">
        <v>506</v>
      </c>
      <c r="AK23" s="133" t="str">
        <f>V33</f>
        <v>SD OSEK A</v>
      </c>
    </row>
    <row r="24" spans="3:37" ht="11.25" customHeight="1">
      <c r="C24" s="216" t="s">
        <v>21</v>
      </c>
      <c r="D24" s="201" t="s">
        <v>56</v>
      </c>
      <c r="E24" s="111">
        <v>1</v>
      </c>
      <c r="F24" s="112">
        <v>1</v>
      </c>
      <c r="G24" s="112">
        <v>3</v>
      </c>
      <c r="H24" s="112">
        <v>1</v>
      </c>
      <c r="I24" s="112">
        <v>1</v>
      </c>
      <c r="J24" s="112">
        <v>1</v>
      </c>
      <c r="K24" s="112">
        <v>1</v>
      </c>
      <c r="L24" s="113">
        <v>1</v>
      </c>
      <c r="M24" s="113">
        <v>1</v>
      </c>
      <c r="N24" s="182">
        <f>E25+F25+G25+H25+I25+J25+K25+M25+L25</f>
        <v>4247</v>
      </c>
      <c r="O24" s="187">
        <f>AVERAGE(E25:M25)</f>
        <v>471.8888888888889</v>
      </c>
      <c r="P24" s="180">
        <f>E24+F24+G24+H24+I24+J24+K24+M24+L24</f>
        <v>11</v>
      </c>
      <c r="Q24" s="8"/>
      <c r="R24" s="10"/>
      <c r="S24" s="10"/>
      <c r="U24" s="123"/>
      <c r="V24" s="123"/>
      <c r="W24" s="121"/>
      <c r="X24" s="134" t="str">
        <f>V36</f>
        <v>SD TRNOVSKA B</v>
      </c>
      <c r="Y24" s="135">
        <v>484</v>
      </c>
      <c r="Z24" s="136">
        <v>3</v>
      </c>
      <c r="AA24" s="148">
        <v>1</v>
      </c>
      <c r="AB24" s="138">
        <v>469</v>
      </c>
      <c r="AC24" s="139" t="str">
        <f>V30</f>
        <v>SD VELKA B</v>
      </c>
      <c r="AD24" s="121"/>
      <c r="AE24" s="134" t="str">
        <f>V29</f>
        <v>SD SELCI</v>
      </c>
      <c r="AF24" s="135">
        <v>450</v>
      </c>
      <c r="AG24" s="149">
        <v>1</v>
      </c>
      <c r="AH24" s="168" t="s">
        <v>128</v>
      </c>
      <c r="AI24" s="169">
        <v>3</v>
      </c>
      <c r="AJ24" s="138">
        <v>498</v>
      </c>
      <c r="AK24" s="139" t="str">
        <f>V32</f>
        <v>OSEK B</v>
      </c>
    </row>
    <row r="25" spans="3:37" ht="11.25" customHeight="1" thickBot="1">
      <c r="C25" s="217"/>
      <c r="D25" s="202"/>
      <c r="E25" s="114">
        <v>469</v>
      </c>
      <c r="F25" s="115">
        <f>167+159+154</f>
        <v>480</v>
      </c>
      <c r="G25" s="115">
        <f>155+143+157</f>
        <v>455</v>
      </c>
      <c r="H25" s="115">
        <v>477</v>
      </c>
      <c r="I25" s="115">
        <v>457</v>
      </c>
      <c r="J25" s="115">
        <v>450</v>
      </c>
      <c r="K25" s="115">
        <v>486</v>
      </c>
      <c r="L25" s="116">
        <f>161+170+167</f>
        <v>498</v>
      </c>
      <c r="M25" s="116">
        <f>149+158+168</f>
        <v>475</v>
      </c>
      <c r="N25" s="183"/>
      <c r="O25" s="188"/>
      <c r="P25" s="181"/>
      <c r="Q25" s="8"/>
      <c r="R25" s="10"/>
      <c r="S25" s="10"/>
      <c r="U25" s="123"/>
      <c r="V25" s="123"/>
      <c r="W25" s="121"/>
      <c r="X25" s="134" t="str">
        <f>V35</f>
        <v>SD VELKA A</v>
      </c>
      <c r="Y25" s="135">
        <v>517</v>
      </c>
      <c r="Z25" s="136">
        <v>3</v>
      </c>
      <c r="AA25" s="148">
        <v>1</v>
      </c>
      <c r="AB25" s="138">
        <v>516</v>
      </c>
      <c r="AC25" s="139" t="str">
        <f>V31</f>
        <v>VITOMARCI</v>
      </c>
      <c r="AD25" s="121"/>
      <c r="AE25" s="134" t="str">
        <f>V30</f>
        <v>SD VELKA B</v>
      </c>
      <c r="AF25" s="135">
        <v>476</v>
      </c>
      <c r="AG25" s="149">
        <v>3</v>
      </c>
      <c r="AH25" s="168" t="s">
        <v>128</v>
      </c>
      <c r="AI25" s="169">
        <v>1</v>
      </c>
      <c r="AJ25" s="138">
        <v>472</v>
      </c>
      <c r="AK25" s="139" t="str">
        <f>V31</f>
        <v>VITOMARCI</v>
      </c>
    </row>
    <row r="26" spans="3:37" ht="11.25">
      <c r="C26" s="6"/>
      <c r="D26" s="38"/>
      <c r="E26" s="34"/>
      <c r="F26" s="6"/>
      <c r="G26" s="6"/>
      <c r="H26" s="6"/>
      <c r="I26" s="6"/>
      <c r="J26" s="6"/>
      <c r="K26" s="6"/>
      <c r="L26" s="6"/>
      <c r="M26" s="6"/>
      <c r="N26" s="6"/>
      <c r="O26" s="6"/>
      <c r="P26" s="7"/>
      <c r="Q26" s="7"/>
      <c r="R26" s="8"/>
      <c r="S26" s="10"/>
      <c r="T26" s="159"/>
      <c r="U26" s="123"/>
      <c r="V26" s="123"/>
      <c r="W26" s="121"/>
      <c r="X26" s="134" t="str">
        <f>V34</f>
        <v>CERKVENJAK</v>
      </c>
      <c r="Y26" s="135">
        <v>456</v>
      </c>
      <c r="Z26" s="149">
        <v>1</v>
      </c>
      <c r="AA26" s="137">
        <v>3</v>
      </c>
      <c r="AB26" s="138">
        <v>491</v>
      </c>
      <c r="AC26" s="139" t="str">
        <f>V32</f>
        <v>OSEK B</v>
      </c>
      <c r="AD26" s="121"/>
      <c r="AE26" s="134" t="str">
        <f>V36</f>
        <v>SD TRNOVSKA B</v>
      </c>
      <c r="AF26" s="135">
        <v>494</v>
      </c>
      <c r="AG26" s="149">
        <v>3</v>
      </c>
      <c r="AH26" s="168" t="s">
        <v>128</v>
      </c>
      <c r="AI26" s="169">
        <v>1</v>
      </c>
      <c r="AJ26" s="138">
        <v>466</v>
      </c>
      <c r="AK26" s="139" t="str">
        <f>V34</f>
        <v>CERKVENJAK</v>
      </c>
    </row>
    <row r="27" spans="3:37" ht="12" thickBot="1">
      <c r="C27" s="6"/>
      <c r="D27" s="38"/>
      <c r="E27" s="34"/>
      <c r="F27" s="6"/>
      <c r="G27" s="6"/>
      <c r="H27" s="6"/>
      <c r="I27" s="6"/>
      <c r="J27" s="6"/>
      <c r="K27" s="6"/>
      <c r="L27" s="6"/>
      <c r="M27" s="6"/>
      <c r="N27" s="6"/>
      <c r="O27" s="6"/>
      <c r="P27" s="7"/>
      <c r="Q27" s="7"/>
      <c r="R27" s="8"/>
      <c r="S27" s="10"/>
      <c r="T27" s="159"/>
      <c r="U27" s="123"/>
      <c r="V27" s="123"/>
      <c r="W27" s="121"/>
      <c r="X27" s="150" t="str">
        <f>V37</f>
        <v>PROSTI</v>
      </c>
      <c r="Y27" s="151">
        <v>0</v>
      </c>
      <c r="Z27" s="152" t="s">
        <v>128</v>
      </c>
      <c r="AA27" s="143">
        <v>3</v>
      </c>
      <c r="AB27" s="153">
        <v>532</v>
      </c>
      <c r="AC27" s="154" t="str">
        <f>V33</f>
        <v>SD OSEK A</v>
      </c>
      <c r="AD27" s="121"/>
      <c r="AE27" s="150" t="str">
        <f>V37</f>
        <v>PROSTI</v>
      </c>
      <c r="AF27" s="151">
        <v>0</v>
      </c>
      <c r="AG27" s="152">
        <v>0</v>
      </c>
      <c r="AH27" s="170" t="s">
        <v>128</v>
      </c>
      <c r="AI27" s="171">
        <v>3</v>
      </c>
      <c r="AJ27" s="153">
        <v>513</v>
      </c>
      <c r="AK27" s="154" t="str">
        <f>V35</f>
        <v>SD VELKA A</v>
      </c>
    </row>
    <row r="28" spans="3:37" ht="12" thickBot="1">
      <c r="C28" s="6"/>
      <c r="D28" s="38"/>
      <c r="E28" s="34"/>
      <c r="F28" s="6"/>
      <c r="G28" s="6"/>
      <c r="H28" s="6"/>
      <c r="I28" s="6"/>
      <c r="J28" s="6"/>
      <c r="K28" s="6"/>
      <c r="L28" s="6"/>
      <c r="M28" s="6"/>
      <c r="N28" s="6"/>
      <c r="O28" s="6"/>
      <c r="P28" s="7"/>
      <c r="Q28" s="7"/>
      <c r="R28" s="8"/>
      <c r="S28" s="10"/>
      <c r="T28" s="159"/>
      <c r="U28" s="125">
        <v>1</v>
      </c>
      <c r="V28" s="126" t="s">
        <v>152</v>
      </c>
      <c r="W28" s="121"/>
      <c r="X28" s="146"/>
      <c r="Y28" s="146"/>
      <c r="Z28" s="146"/>
      <c r="AA28" s="146"/>
      <c r="AB28" s="146"/>
      <c r="AC28" s="146"/>
      <c r="AD28" s="121"/>
      <c r="AE28" s="146"/>
      <c r="AF28" s="146"/>
      <c r="AG28" s="146"/>
      <c r="AH28" s="146"/>
      <c r="AI28" s="146"/>
      <c r="AJ28" s="146"/>
      <c r="AK28" s="146"/>
    </row>
    <row r="29" spans="2:37" ht="12.75" customHeight="1" thickBot="1">
      <c r="B29" s="11"/>
      <c r="C29" s="211" t="s">
        <v>54</v>
      </c>
      <c r="D29" s="212"/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2"/>
      <c r="P29" s="212"/>
      <c r="Q29" s="212"/>
      <c r="R29" s="213"/>
      <c r="S29" s="45"/>
      <c r="T29" s="160"/>
      <c r="U29" s="125">
        <v>2</v>
      </c>
      <c r="V29" s="126" t="s">
        <v>151</v>
      </c>
      <c r="W29" s="121"/>
      <c r="X29" s="175" t="s">
        <v>150</v>
      </c>
      <c r="Y29" s="176"/>
      <c r="Z29" s="176"/>
      <c r="AA29" s="176"/>
      <c r="AB29" s="176"/>
      <c r="AC29" s="177"/>
      <c r="AD29" s="121"/>
      <c r="AE29" s="172" t="s">
        <v>149</v>
      </c>
      <c r="AF29" s="173"/>
      <c r="AG29" s="173"/>
      <c r="AH29" s="173"/>
      <c r="AI29" s="173"/>
      <c r="AJ29" s="173"/>
      <c r="AK29" s="174"/>
    </row>
    <row r="30" spans="3:37" ht="9.75" customHeight="1">
      <c r="C30" s="218" t="s">
        <v>23</v>
      </c>
      <c r="D30" s="219"/>
      <c r="E30" s="219"/>
      <c r="F30" s="219"/>
      <c r="G30" s="219"/>
      <c r="H30" s="219"/>
      <c r="I30" s="219"/>
      <c r="J30" s="219"/>
      <c r="K30" s="219"/>
      <c r="L30" s="219"/>
      <c r="M30" s="219"/>
      <c r="N30" s="219"/>
      <c r="O30" s="219"/>
      <c r="P30" s="219"/>
      <c r="Q30" s="219"/>
      <c r="R30" s="220"/>
      <c r="S30" s="7"/>
      <c r="T30" s="161"/>
      <c r="U30" s="125">
        <v>3</v>
      </c>
      <c r="V30" s="126" t="s">
        <v>148</v>
      </c>
      <c r="W30" s="121"/>
      <c r="X30" s="128" t="str">
        <f>V30</f>
        <v>SD VELKA B</v>
      </c>
      <c r="Y30" s="129">
        <v>319</v>
      </c>
      <c r="Z30" s="155">
        <v>1</v>
      </c>
      <c r="AA30" s="147">
        <v>3</v>
      </c>
      <c r="AB30" s="132">
        <v>534</v>
      </c>
      <c r="AC30" s="133" t="str">
        <f>V28</f>
        <v>SD TRNOVSKA A</v>
      </c>
      <c r="AD30" s="121"/>
      <c r="AE30" s="128" t="str">
        <f>V34</f>
        <v>CERKVENJAK</v>
      </c>
      <c r="AF30" s="129">
        <v>508</v>
      </c>
      <c r="AG30" s="155">
        <v>1</v>
      </c>
      <c r="AH30" s="166" t="s">
        <v>128</v>
      </c>
      <c r="AI30" s="167">
        <v>3</v>
      </c>
      <c r="AJ30" s="132">
        <v>516</v>
      </c>
      <c r="AK30" s="133" t="str">
        <f>V28</f>
        <v>SD TRNOVSKA A</v>
      </c>
    </row>
    <row r="31" spans="3:37" s="4" customFormat="1" ht="12.75" customHeight="1">
      <c r="C31" s="75"/>
      <c r="D31" s="68"/>
      <c r="E31" s="69"/>
      <c r="F31" s="70"/>
      <c r="G31" s="70"/>
      <c r="H31" s="70"/>
      <c r="I31" s="70"/>
      <c r="J31" s="70"/>
      <c r="K31" s="70"/>
      <c r="L31" s="70"/>
      <c r="M31" s="71"/>
      <c r="N31" s="70"/>
      <c r="O31" s="70"/>
      <c r="P31" s="70"/>
      <c r="Q31" s="84"/>
      <c r="R31" s="76"/>
      <c r="S31" s="21"/>
      <c r="T31" s="162"/>
      <c r="U31" s="125">
        <v>4</v>
      </c>
      <c r="V31" s="126" t="s">
        <v>147</v>
      </c>
      <c r="W31" s="121"/>
      <c r="X31" s="134" t="str">
        <f>V31</f>
        <v>VITOMARCI</v>
      </c>
      <c r="Y31" s="135">
        <v>516</v>
      </c>
      <c r="Z31" s="149">
        <v>3</v>
      </c>
      <c r="AA31" s="148">
        <v>1</v>
      </c>
      <c r="AB31" s="138">
        <v>474</v>
      </c>
      <c r="AC31" s="139" t="str">
        <f>V36</f>
        <v>SD TRNOVSKA B</v>
      </c>
      <c r="AD31" s="121"/>
      <c r="AE31" s="134" t="str">
        <f>V33</f>
        <v>SD OSEK A</v>
      </c>
      <c r="AF31" s="135">
        <v>539</v>
      </c>
      <c r="AG31" s="149">
        <v>3</v>
      </c>
      <c r="AH31" s="168" t="s">
        <v>128</v>
      </c>
      <c r="AI31" s="169">
        <v>1</v>
      </c>
      <c r="AJ31" s="138">
        <v>486</v>
      </c>
      <c r="AK31" s="139" t="str">
        <f>V29</f>
        <v>SD SELCI</v>
      </c>
    </row>
    <row r="32" spans="3:37" s="13" customFormat="1" ht="14.25" customHeight="1">
      <c r="C32" s="77"/>
      <c r="D32" s="73" t="s">
        <v>24</v>
      </c>
      <c r="E32" s="69" t="s">
        <v>25</v>
      </c>
      <c r="F32" s="72" t="s">
        <v>2</v>
      </c>
      <c r="G32" s="72" t="s">
        <v>3</v>
      </c>
      <c r="H32" s="72" t="s">
        <v>4</v>
      </c>
      <c r="I32" s="72" t="s">
        <v>5</v>
      </c>
      <c r="J32" s="72" t="s">
        <v>6</v>
      </c>
      <c r="K32" s="72" t="s">
        <v>7</v>
      </c>
      <c r="L32" s="72" t="s">
        <v>8</v>
      </c>
      <c r="M32" s="72" t="s">
        <v>9</v>
      </c>
      <c r="N32" s="72" t="s">
        <v>108</v>
      </c>
      <c r="O32" s="72" t="s">
        <v>46</v>
      </c>
      <c r="P32" s="74" t="s">
        <v>52</v>
      </c>
      <c r="Q32" s="85" t="s">
        <v>127</v>
      </c>
      <c r="R32" s="78" t="s">
        <v>26</v>
      </c>
      <c r="S32" s="46"/>
      <c r="T32" s="163"/>
      <c r="U32" s="125">
        <v>5</v>
      </c>
      <c r="V32" s="126" t="s">
        <v>146</v>
      </c>
      <c r="W32" s="121"/>
      <c r="X32" s="134" t="str">
        <f>V32</f>
        <v>OSEK B</v>
      </c>
      <c r="Y32" s="135">
        <v>475</v>
      </c>
      <c r="Z32" s="149">
        <v>1</v>
      </c>
      <c r="AA32" s="148">
        <v>3</v>
      </c>
      <c r="AB32" s="138">
        <v>506</v>
      </c>
      <c r="AC32" s="139" t="str">
        <f>V35</f>
        <v>SD VELKA A</v>
      </c>
      <c r="AD32" s="121"/>
      <c r="AE32" s="134" t="str">
        <f>V32</f>
        <v>OSEK B</v>
      </c>
      <c r="AF32" s="135">
        <v>495</v>
      </c>
      <c r="AG32" s="149">
        <v>3</v>
      </c>
      <c r="AH32" s="168" t="s">
        <v>128</v>
      </c>
      <c r="AI32" s="169">
        <v>1</v>
      </c>
      <c r="AJ32" s="138">
        <v>471</v>
      </c>
      <c r="AK32" s="139" t="str">
        <f>V30</f>
        <v>SD VELKA B</v>
      </c>
    </row>
    <row r="33" spans="3:37" ht="11.25" customHeight="1">
      <c r="C33" s="53" t="s">
        <v>13</v>
      </c>
      <c r="D33" s="54" t="s">
        <v>98</v>
      </c>
      <c r="E33" s="55" t="s">
        <v>62</v>
      </c>
      <c r="F33" s="56">
        <v>183</v>
      </c>
      <c r="G33" s="56">
        <v>173</v>
      </c>
      <c r="H33" s="56">
        <v>181</v>
      </c>
      <c r="I33" s="56">
        <v>189</v>
      </c>
      <c r="J33" s="56">
        <v>179</v>
      </c>
      <c r="K33" s="56">
        <v>176</v>
      </c>
      <c r="L33" s="56">
        <v>176</v>
      </c>
      <c r="M33" s="56">
        <v>180</v>
      </c>
      <c r="N33" s="56">
        <v>181</v>
      </c>
      <c r="O33" s="58">
        <f aca="true" t="shared" si="0" ref="O33:O76">SUM(F33:N33)</f>
        <v>1618</v>
      </c>
      <c r="P33" s="59">
        <f aca="true" t="shared" si="1" ref="P33:P76">MIN(F33:N33)</f>
        <v>173</v>
      </c>
      <c r="Q33" s="86">
        <f>AVERAGE(F33:N33)</f>
        <v>179.77777777777777</v>
      </c>
      <c r="R33" s="60">
        <f aca="true" t="shared" si="2" ref="R33:R75">O33-P33</f>
        <v>1445</v>
      </c>
      <c r="S33" s="47"/>
      <c r="T33" s="164"/>
      <c r="U33" s="125">
        <v>6</v>
      </c>
      <c r="V33" s="126" t="s">
        <v>145</v>
      </c>
      <c r="W33" s="121"/>
      <c r="X33" s="134" t="str">
        <f>V33</f>
        <v>SD OSEK A</v>
      </c>
      <c r="Y33" s="135">
        <v>523</v>
      </c>
      <c r="Z33" s="149">
        <v>3</v>
      </c>
      <c r="AA33" s="148">
        <v>1</v>
      </c>
      <c r="AB33" s="138">
        <v>484</v>
      </c>
      <c r="AC33" s="139" t="str">
        <f>V34</f>
        <v>CERKVENJAK</v>
      </c>
      <c r="AD33" s="121"/>
      <c r="AE33" s="134" t="str">
        <f>V35</f>
        <v>SD VELKA A</v>
      </c>
      <c r="AF33" s="135">
        <v>521</v>
      </c>
      <c r="AG33" s="149">
        <v>3</v>
      </c>
      <c r="AH33" s="168" t="s">
        <v>128</v>
      </c>
      <c r="AI33" s="169">
        <v>1</v>
      </c>
      <c r="AJ33" s="138">
        <v>481</v>
      </c>
      <c r="AK33" s="139" t="str">
        <f>V36</f>
        <v>SD TRNOVSKA B</v>
      </c>
    </row>
    <row r="34" spans="3:37" ht="11.25" customHeight="1" thickBot="1">
      <c r="C34" s="27" t="s">
        <v>14</v>
      </c>
      <c r="D34" s="28" t="s">
        <v>79</v>
      </c>
      <c r="E34" s="31" t="s">
        <v>65</v>
      </c>
      <c r="F34" s="5">
        <v>184</v>
      </c>
      <c r="G34" s="5">
        <v>181</v>
      </c>
      <c r="H34" s="5">
        <v>175</v>
      </c>
      <c r="I34" s="5">
        <v>177</v>
      </c>
      <c r="J34" s="5">
        <v>176</v>
      </c>
      <c r="K34" s="5">
        <v>174</v>
      </c>
      <c r="L34" s="5">
        <v>181</v>
      </c>
      <c r="M34" s="5">
        <v>176</v>
      </c>
      <c r="N34" s="5">
        <v>179</v>
      </c>
      <c r="O34" s="19">
        <f t="shared" si="0"/>
        <v>1603</v>
      </c>
      <c r="P34" s="20">
        <f t="shared" si="1"/>
        <v>174</v>
      </c>
      <c r="Q34" s="87">
        <f>AVERAGE(F34:N34)</f>
        <v>178.11111111111111</v>
      </c>
      <c r="R34" s="48">
        <f t="shared" si="2"/>
        <v>1429</v>
      </c>
      <c r="S34" s="47"/>
      <c r="T34" s="164"/>
      <c r="U34" s="125">
        <v>7</v>
      </c>
      <c r="V34" s="126" t="s">
        <v>144</v>
      </c>
      <c r="W34" s="121"/>
      <c r="X34" s="140" t="str">
        <f>V29</f>
        <v>SD SELCI</v>
      </c>
      <c r="Y34" s="141">
        <v>455</v>
      </c>
      <c r="Z34" s="152">
        <v>3</v>
      </c>
      <c r="AA34" s="156" t="s">
        <v>128</v>
      </c>
      <c r="AB34" s="144">
        <v>0</v>
      </c>
      <c r="AC34" s="145" t="str">
        <f>V37</f>
        <v>PROSTI</v>
      </c>
      <c r="AD34" s="121"/>
      <c r="AE34" s="140" t="str">
        <f>V31</f>
        <v>VITOMARCI</v>
      </c>
      <c r="AF34" s="141">
        <v>498</v>
      </c>
      <c r="AG34" s="152">
        <v>3</v>
      </c>
      <c r="AH34" s="170" t="s">
        <v>128</v>
      </c>
      <c r="AI34" s="171" t="s">
        <v>128</v>
      </c>
      <c r="AJ34" s="144">
        <v>0</v>
      </c>
      <c r="AK34" s="145" t="str">
        <f>V37</f>
        <v>PROSTI</v>
      </c>
    </row>
    <row r="35" spans="3:37" ht="11.25" customHeight="1" thickBot="1">
      <c r="C35" s="53" t="s">
        <v>15</v>
      </c>
      <c r="D35" s="54" t="s">
        <v>87</v>
      </c>
      <c r="E35" s="55" t="s">
        <v>73</v>
      </c>
      <c r="F35" s="56">
        <v>180</v>
      </c>
      <c r="G35" s="57">
        <v>0</v>
      </c>
      <c r="H35" s="57">
        <v>178</v>
      </c>
      <c r="I35" s="57">
        <v>183</v>
      </c>
      <c r="J35" s="57">
        <v>175</v>
      </c>
      <c r="K35" s="57">
        <v>166</v>
      </c>
      <c r="L35" s="57">
        <v>183</v>
      </c>
      <c r="M35" s="57">
        <v>180</v>
      </c>
      <c r="N35" s="57">
        <v>179</v>
      </c>
      <c r="O35" s="58">
        <f t="shared" si="0"/>
        <v>1424</v>
      </c>
      <c r="P35" s="59">
        <f t="shared" si="1"/>
        <v>0</v>
      </c>
      <c r="Q35" s="86">
        <f>O35/8</f>
        <v>178</v>
      </c>
      <c r="R35" s="60">
        <f t="shared" si="2"/>
        <v>1424</v>
      </c>
      <c r="S35" s="47"/>
      <c r="T35" s="164"/>
      <c r="U35" s="125">
        <v>8</v>
      </c>
      <c r="V35" s="126" t="s">
        <v>143</v>
      </c>
      <c r="W35" s="121"/>
      <c r="X35" s="146"/>
      <c r="Y35" s="146"/>
      <c r="Z35" s="146"/>
      <c r="AA35" s="146"/>
      <c r="AB35" s="146"/>
      <c r="AC35" s="146"/>
      <c r="AD35" s="121"/>
      <c r="AE35" s="146"/>
      <c r="AF35" s="146"/>
      <c r="AG35" s="146"/>
      <c r="AH35" s="146"/>
      <c r="AI35" s="146"/>
      <c r="AJ35" s="146"/>
      <c r="AK35" s="146"/>
    </row>
    <row r="36" spans="3:37" ht="11.25" customHeight="1" thickBot="1">
      <c r="C36" s="27" t="s">
        <v>16</v>
      </c>
      <c r="D36" s="28" t="s">
        <v>74</v>
      </c>
      <c r="E36" s="31" t="s">
        <v>73</v>
      </c>
      <c r="F36" s="5">
        <v>177</v>
      </c>
      <c r="G36" s="42">
        <v>178</v>
      </c>
      <c r="H36" s="42">
        <v>177</v>
      </c>
      <c r="I36" s="42">
        <v>176</v>
      </c>
      <c r="J36" s="42">
        <v>177</v>
      </c>
      <c r="K36" s="42">
        <v>169</v>
      </c>
      <c r="L36" s="42">
        <v>179</v>
      </c>
      <c r="M36" s="42">
        <v>170</v>
      </c>
      <c r="N36" s="42">
        <v>176</v>
      </c>
      <c r="O36" s="19">
        <f t="shared" si="0"/>
        <v>1579</v>
      </c>
      <c r="P36" s="20">
        <f t="shared" si="1"/>
        <v>169</v>
      </c>
      <c r="Q36" s="87">
        <f aca="true" t="shared" si="3" ref="Q36:Q48">AVERAGE(F36:N36)</f>
        <v>175.44444444444446</v>
      </c>
      <c r="R36" s="48">
        <f t="shared" si="2"/>
        <v>1410</v>
      </c>
      <c r="S36" s="47"/>
      <c r="T36" s="164"/>
      <c r="U36" s="125">
        <v>9</v>
      </c>
      <c r="V36" s="126" t="s">
        <v>142</v>
      </c>
      <c r="W36" s="121"/>
      <c r="X36" s="175" t="s">
        <v>141</v>
      </c>
      <c r="Y36" s="176"/>
      <c r="Z36" s="176"/>
      <c r="AA36" s="176"/>
      <c r="AB36" s="176"/>
      <c r="AC36" s="177"/>
      <c r="AD36" s="121"/>
      <c r="AE36" s="172" t="s">
        <v>140</v>
      </c>
      <c r="AF36" s="173"/>
      <c r="AG36" s="173"/>
      <c r="AH36" s="173"/>
      <c r="AI36" s="173"/>
      <c r="AJ36" s="173"/>
      <c r="AK36" s="174"/>
    </row>
    <row r="37" spans="3:37" ht="11.25" customHeight="1">
      <c r="C37" s="53" t="s">
        <v>17</v>
      </c>
      <c r="D37" s="54" t="s">
        <v>58</v>
      </c>
      <c r="E37" s="55" t="s">
        <v>65</v>
      </c>
      <c r="F37" s="56">
        <v>179</v>
      </c>
      <c r="G37" s="56">
        <v>181</v>
      </c>
      <c r="H37" s="56">
        <v>175</v>
      </c>
      <c r="I37" s="56">
        <v>164</v>
      </c>
      <c r="J37" s="56">
        <v>167</v>
      </c>
      <c r="K37" s="56">
        <v>176</v>
      </c>
      <c r="L37" s="56">
        <v>173</v>
      </c>
      <c r="M37" s="56">
        <v>178</v>
      </c>
      <c r="N37" s="56">
        <v>178</v>
      </c>
      <c r="O37" s="58">
        <f t="shared" si="0"/>
        <v>1571</v>
      </c>
      <c r="P37" s="59">
        <f t="shared" si="1"/>
        <v>164</v>
      </c>
      <c r="Q37" s="86">
        <f t="shared" si="3"/>
        <v>174.55555555555554</v>
      </c>
      <c r="R37" s="60">
        <f t="shared" si="2"/>
        <v>1407</v>
      </c>
      <c r="S37" s="47"/>
      <c r="T37" s="164"/>
      <c r="U37" s="125">
        <v>10</v>
      </c>
      <c r="V37" s="127" t="s">
        <v>139</v>
      </c>
      <c r="W37" s="121"/>
      <c r="X37" s="128" t="str">
        <f>V28</f>
        <v>SD TRNOVSKA A</v>
      </c>
      <c r="Y37" s="129">
        <v>541</v>
      </c>
      <c r="Z37" s="155">
        <v>3</v>
      </c>
      <c r="AA37" s="147">
        <v>1</v>
      </c>
      <c r="AB37" s="132">
        <v>514</v>
      </c>
      <c r="AC37" s="133" t="str">
        <f>V31</f>
        <v>VITOMARCI</v>
      </c>
      <c r="AD37" s="121"/>
      <c r="AE37" s="128" t="str">
        <f>V28</f>
        <v>SD TRNOVSKA A</v>
      </c>
      <c r="AF37" s="129">
        <v>528</v>
      </c>
      <c r="AG37" s="155">
        <v>3</v>
      </c>
      <c r="AH37" s="166" t="s">
        <v>128</v>
      </c>
      <c r="AI37" s="167">
        <v>1</v>
      </c>
      <c r="AJ37" s="132">
        <v>524</v>
      </c>
      <c r="AK37" s="133" t="str">
        <f>V35</f>
        <v>SD VELKA A</v>
      </c>
    </row>
    <row r="38" spans="3:37" ht="11.25" customHeight="1">
      <c r="C38" s="27" t="s">
        <v>18</v>
      </c>
      <c r="D38" s="28" t="s">
        <v>89</v>
      </c>
      <c r="E38" s="31" t="s">
        <v>62</v>
      </c>
      <c r="F38" s="5">
        <v>161</v>
      </c>
      <c r="G38" s="42">
        <v>178</v>
      </c>
      <c r="H38" s="42">
        <v>177</v>
      </c>
      <c r="I38" s="42">
        <v>173</v>
      </c>
      <c r="J38" s="42">
        <v>173</v>
      </c>
      <c r="K38" s="42">
        <v>175</v>
      </c>
      <c r="L38" s="42">
        <v>174</v>
      </c>
      <c r="M38" s="42">
        <v>174</v>
      </c>
      <c r="N38" s="42">
        <v>180</v>
      </c>
      <c r="O38" s="42">
        <f t="shared" si="0"/>
        <v>1565</v>
      </c>
      <c r="P38" s="20">
        <f t="shared" si="1"/>
        <v>161</v>
      </c>
      <c r="Q38" s="87">
        <f t="shared" si="3"/>
        <v>173.88888888888889</v>
      </c>
      <c r="R38" s="48">
        <f t="shared" si="2"/>
        <v>1404</v>
      </c>
      <c r="S38" s="47"/>
      <c r="T38" s="164"/>
      <c r="U38" s="123"/>
      <c r="V38" s="123"/>
      <c r="W38" s="121"/>
      <c r="X38" s="134" t="str">
        <f>V29</f>
        <v>SD SELCI</v>
      </c>
      <c r="Y38" s="135">
        <v>477</v>
      </c>
      <c r="Z38" s="149">
        <v>1</v>
      </c>
      <c r="AA38" s="148">
        <v>3</v>
      </c>
      <c r="AB38" s="138">
        <v>484</v>
      </c>
      <c r="AC38" s="139" t="str">
        <f>V30</f>
        <v>SD VELKA B</v>
      </c>
      <c r="AD38" s="121"/>
      <c r="AE38" s="134" t="str">
        <f>V29</f>
        <v>SD SELCI</v>
      </c>
      <c r="AF38" s="135">
        <v>498</v>
      </c>
      <c r="AG38" s="149">
        <v>1</v>
      </c>
      <c r="AH38" s="168" t="s">
        <v>128</v>
      </c>
      <c r="AI38" s="169">
        <v>3</v>
      </c>
      <c r="AJ38" s="138">
        <v>508</v>
      </c>
      <c r="AK38" s="139" t="str">
        <f>V34</f>
        <v>CERKVENJAK</v>
      </c>
    </row>
    <row r="39" spans="3:37" ht="11.25" customHeight="1">
      <c r="C39" s="89" t="s">
        <v>19</v>
      </c>
      <c r="D39" s="90" t="s">
        <v>72</v>
      </c>
      <c r="E39" s="91" t="s">
        <v>73</v>
      </c>
      <c r="F39" s="92">
        <v>176</v>
      </c>
      <c r="G39" s="92">
        <v>178</v>
      </c>
      <c r="H39" s="92">
        <v>168</v>
      </c>
      <c r="I39" s="92">
        <v>176</v>
      </c>
      <c r="J39" s="92">
        <v>175</v>
      </c>
      <c r="K39" s="92">
        <v>171</v>
      </c>
      <c r="L39" s="92">
        <v>177</v>
      </c>
      <c r="M39" s="92">
        <v>174</v>
      </c>
      <c r="N39" s="92">
        <v>175</v>
      </c>
      <c r="O39" s="97">
        <f t="shared" si="0"/>
        <v>1570</v>
      </c>
      <c r="P39" s="94">
        <f t="shared" si="1"/>
        <v>168</v>
      </c>
      <c r="Q39" s="95">
        <f t="shared" si="3"/>
        <v>174.44444444444446</v>
      </c>
      <c r="R39" s="96">
        <f t="shared" si="2"/>
        <v>1402</v>
      </c>
      <c r="S39" s="47"/>
      <c r="T39" s="164"/>
      <c r="U39" s="123"/>
      <c r="V39" s="123"/>
      <c r="W39" s="121"/>
      <c r="X39" s="134" t="str">
        <f>V36</f>
        <v>SD TRNOVSKA B</v>
      </c>
      <c r="Y39" s="135">
        <v>474</v>
      </c>
      <c r="Z39" s="149">
        <v>1</v>
      </c>
      <c r="AA39" s="148">
        <v>3</v>
      </c>
      <c r="AB39" s="138">
        <v>493</v>
      </c>
      <c r="AC39" s="139" t="str">
        <f>V32</f>
        <v>OSEK B</v>
      </c>
      <c r="AD39" s="121"/>
      <c r="AE39" s="134" t="str">
        <f>V30</f>
        <v>SD VELKA B</v>
      </c>
      <c r="AF39" s="135">
        <v>486</v>
      </c>
      <c r="AG39" s="149">
        <v>1</v>
      </c>
      <c r="AH39" s="168" t="s">
        <v>128</v>
      </c>
      <c r="AI39" s="169">
        <v>3</v>
      </c>
      <c r="AJ39" s="138">
        <v>524</v>
      </c>
      <c r="AK39" s="139" t="str">
        <f>V33</f>
        <v>SD OSEK A</v>
      </c>
    </row>
    <row r="40" spans="3:37" ht="11.25" customHeight="1">
      <c r="C40" s="27" t="s">
        <v>20</v>
      </c>
      <c r="D40" s="28" t="s">
        <v>69</v>
      </c>
      <c r="E40" s="31" t="s">
        <v>70</v>
      </c>
      <c r="F40" s="5">
        <v>180</v>
      </c>
      <c r="G40" s="5">
        <v>177</v>
      </c>
      <c r="H40" s="5">
        <v>181</v>
      </c>
      <c r="I40" s="5">
        <v>165</v>
      </c>
      <c r="J40" s="5">
        <v>166</v>
      </c>
      <c r="K40" s="5">
        <v>160</v>
      </c>
      <c r="L40" s="5">
        <v>164</v>
      </c>
      <c r="M40" s="5">
        <v>177</v>
      </c>
      <c r="N40" s="5">
        <v>183</v>
      </c>
      <c r="O40" s="19">
        <f t="shared" si="0"/>
        <v>1553</v>
      </c>
      <c r="P40" s="20">
        <f t="shared" si="1"/>
        <v>160</v>
      </c>
      <c r="Q40" s="87">
        <f t="shared" si="3"/>
        <v>172.55555555555554</v>
      </c>
      <c r="R40" s="48">
        <f t="shared" si="2"/>
        <v>1393</v>
      </c>
      <c r="S40" s="47"/>
      <c r="T40" s="164"/>
      <c r="U40" s="123"/>
      <c r="V40" s="123"/>
      <c r="W40" s="121"/>
      <c r="X40" s="134" t="str">
        <f>V35</f>
        <v>SD VELKA A</v>
      </c>
      <c r="Y40" s="135">
        <v>492</v>
      </c>
      <c r="Z40" s="149">
        <v>1</v>
      </c>
      <c r="AA40" s="148">
        <v>3</v>
      </c>
      <c r="AB40" s="138">
        <v>535</v>
      </c>
      <c r="AC40" s="139" t="str">
        <f>V33</f>
        <v>SD OSEK A</v>
      </c>
      <c r="AD40" s="121"/>
      <c r="AE40" s="134" t="str">
        <f>V31</f>
        <v>VITOMARCI</v>
      </c>
      <c r="AF40" s="135">
        <v>512</v>
      </c>
      <c r="AG40" s="149">
        <v>3</v>
      </c>
      <c r="AH40" s="168" t="s">
        <v>128</v>
      </c>
      <c r="AI40" s="169">
        <v>1</v>
      </c>
      <c r="AJ40" s="138">
        <v>490</v>
      </c>
      <c r="AK40" s="139" t="str">
        <f>V32</f>
        <v>OSEK B</v>
      </c>
    </row>
    <row r="41" spans="3:37" ht="11.25" customHeight="1" thickBot="1">
      <c r="C41" s="89" t="s">
        <v>21</v>
      </c>
      <c r="D41" s="90" t="s">
        <v>97</v>
      </c>
      <c r="E41" s="91" t="s">
        <v>70</v>
      </c>
      <c r="F41" s="92">
        <v>175</v>
      </c>
      <c r="G41" s="93">
        <v>177</v>
      </c>
      <c r="H41" s="93">
        <v>177</v>
      </c>
      <c r="I41" s="93">
        <v>170</v>
      </c>
      <c r="J41" s="93">
        <v>165</v>
      </c>
      <c r="K41" s="93">
        <v>175</v>
      </c>
      <c r="L41" s="93">
        <v>174</v>
      </c>
      <c r="M41" s="93">
        <v>172</v>
      </c>
      <c r="N41" s="93">
        <v>171</v>
      </c>
      <c r="O41" s="93">
        <f t="shared" si="0"/>
        <v>1556</v>
      </c>
      <c r="P41" s="94">
        <f t="shared" si="1"/>
        <v>165</v>
      </c>
      <c r="Q41" s="95">
        <f t="shared" si="3"/>
        <v>172.88888888888889</v>
      </c>
      <c r="R41" s="96">
        <f t="shared" si="2"/>
        <v>1391</v>
      </c>
      <c r="S41" s="47"/>
      <c r="T41" s="164"/>
      <c r="U41" s="123"/>
      <c r="V41" s="123"/>
      <c r="W41" s="121"/>
      <c r="X41" s="150" t="str">
        <f>V37</f>
        <v>PROSTI</v>
      </c>
      <c r="Y41" s="151">
        <v>0</v>
      </c>
      <c r="Z41" s="152" t="s">
        <v>128</v>
      </c>
      <c r="AA41" s="156">
        <v>3</v>
      </c>
      <c r="AB41" s="153">
        <v>488</v>
      </c>
      <c r="AC41" s="154" t="str">
        <f>V34</f>
        <v>CERKVENJAK</v>
      </c>
      <c r="AD41" s="121"/>
      <c r="AE41" s="150" t="str">
        <f>V37</f>
        <v>PROSTI</v>
      </c>
      <c r="AF41" s="151">
        <v>0</v>
      </c>
      <c r="AG41" s="152">
        <v>0</v>
      </c>
      <c r="AH41" s="170" t="s">
        <v>128</v>
      </c>
      <c r="AI41" s="171">
        <v>3</v>
      </c>
      <c r="AJ41" s="153">
        <v>483</v>
      </c>
      <c r="AK41" s="154" t="str">
        <f>V36</f>
        <v>SD TRNOVSKA B</v>
      </c>
    </row>
    <row r="42" spans="3:37" ht="11.25" customHeight="1" thickBot="1">
      <c r="C42" s="27" t="s">
        <v>22</v>
      </c>
      <c r="D42" s="28" t="s">
        <v>103</v>
      </c>
      <c r="E42" s="31" t="s">
        <v>68</v>
      </c>
      <c r="F42" s="5">
        <v>165</v>
      </c>
      <c r="G42" s="5">
        <v>180</v>
      </c>
      <c r="H42" s="5">
        <v>177</v>
      </c>
      <c r="I42" s="5">
        <v>169</v>
      </c>
      <c r="J42" s="5">
        <v>174</v>
      </c>
      <c r="K42" s="5">
        <v>178</v>
      </c>
      <c r="L42" s="5">
        <v>168</v>
      </c>
      <c r="M42" s="5">
        <v>166</v>
      </c>
      <c r="N42" s="5">
        <v>173</v>
      </c>
      <c r="O42" s="42">
        <f t="shared" si="0"/>
        <v>1550</v>
      </c>
      <c r="P42" s="20">
        <f t="shared" si="1"/>
        <v>165</v>
      </c>
      <c r="Q42" s="87">
        <f t="shared" si="3"/>
        <v>172.22222222222223</v>
      </c>
      <c r="R42" s="48">
        <f t="shared" si="2"/>
        <v>1385</v>
      </c>
      <c r="S42" s="47"/>
      <c r="T42" s="164"/>
      <c r="U42" s="123"/>
      <c r="V42" s="123"/>
      <c r="W42" s="121"/>
      <c r="X42" s="146"/>
      <c r="Y42" s="146"/>
      <c r="Z42" s="146"/>
      <c r="AA42" s="146"/>
      <c r="AB42" s="146"/>
      <c r="AC42" s="146"/>
      <c r="AD42" s="121"/>
      <c r="AE42" s="146"/>
      <c r="AF42" s="146"/>
      <c r="AG42" s="146"/>
      <c r="AH42" s="146"/>
      <c r="AI42" s="146"/>
      <c r="AJ42" s="146"/>
      <c r="AK42" s="146"/>
    </row>
    <row r="43" spans="3:37" ht="11.25" customHeight="1" thickBot="1">
      <c r="C43" s="89" t="s">
        <v>27</v>
      </c>
      <c r="D43" s="90" t="s">
        <v>84</v>
      </c>
      <c r="E43" s="91" t="s">
        <v>62</v>
      </c>
      <c r="F43" s="92">
        <v>163</v>
      </c>
      <c r="G43" s="93">
        <v>168</v>
      </c>
      <c r="H43" s="93">
        <v>176</v>
      </c>
      <c r="I43" s="93">
        <v>179</v>
      </c>
      <c r="J43" s="93">
        <v>171</v>
      </c>
      <c r="K43" s="93">
        <v>178</v>
      </c>
      <c r="L43" s="93">
        <v>166</v>
      </c>
      <c r="M43" s="93">
        <v>174</v>
      </c>
      <c r="N43" s="93">
        <v>173</v>
      </c>
      <c r="O43" s="97">
        <f t="shared" si="0"/>
        <v>1548</v>
      </c>
      <c r="P43" s="94">
        <f t="shared" si="1"/>
        <v>163</v>
      </c>
      <c r="Q43" s="95">
        <f t="shared" si="3"/>
        <v>172</v>
      </c>
      <c r="R43" s="96">
        <f t="shared" si="2"/>
        <v>1385</v>
      </c>
      <c r="S43" s="47"/>
      <c r="T43" s="164"/>
      <c r="U43" s="124" t="s">
        <v>138</v>
      </c>
      <c r="V43" s="121"/>
      <c r="W43" s="121"/>
      <c r="X43" s="146"/>
      <c r="Y43" s="146"/>
      <c r="Z43" s="146"/>
      <c r="AA43" s="146"/>
      <c r="AB43" s="146"/>
      <c r="AC43" s="146"/>
      <c r="AD43" s="121"/>
      <c r="AE43" s="172" t="s">
        <v>137</v>
      </c>
      <c r="AF43" s="173"/>
      <c r="AG43" s="173"/>
      <c r="AH43" s="173"/>
      <c r="AI43" s="173"/>
      <c r="AJ43" s="173"/>
      <c r="AK43" s="174"/>
    </row>
    <row r="44" spans="3:37" ht="11.25" customHeight="1">
      <c r="C44" s="27" t="s">
        <v>28</v>
      </c>
      <c r="D44" s="28" t="s">
        <v>77</v>
      </c>
      <c r="E44" s="31" t="s">
        <v>78</v>
      </c>
      <c r="F44" s="5">
        <v>172</v>
      </c>
      <c r="G44" s="5">
        <v>175</v>
      </c>
      <c r="H44" s="5">
        <v>161</v>
      </c>
      <c r="I44" s="5">
        <v>178</v>
      </c>
      <c r="J44" s="5">
        <v>170</v>
      </c>
      <c r="K44" s="5">
        <v>165</v>
      </c>
      <c r="L44" s="5">
        <v>172</v>
      </c>
      <c r="M44" s="5">
        <v>171</v>
      </c>
      <c r="N44" s="5">
        <v>170</v>
      </c>
      <c r="O44" s="19">
        <f t="shared" si="0"/>
        <v>1534</v>
      </c>
      <c r="P44" s="20">
        <f t="shared" si="1"/>
        <v>161</v>
      </c>
      <c r="Q44" s="87">
        <f t="shared" si="3"/>
        <v>170.44444444444446</v>
      </c>
      <c r="R44" s="48">
        <f t="shared" si="2"/>
        <v>1373</v>
      </c>
      <c r="S44" s="47"/>
      <c r="T44" s="164"/>
      <c r="U44" s="124" t="s">
        <v>136</v>
      </c>
      <c r="V44" s="121"/>
      <c r="W44" s="121"/>
      <c r="X44" s="146"/>
      <c r="AD44" s="121"/>
      <c r="AE44" s="128" t="str">
        <f>V36</f>
        <v>SD TRNOVSKA B</v>
      </c>
      <c r="AF44" s="129">
        <v>492</v>
      </c>
      <c r="AG44" s="155">
        <v>1</v>
      </c>
      <c r="AH44" s="166" t="s">
        <v>128</v>
      </c>
      <c r="AI44" s="167">
        <v>3</v>
      </c>
      <c r="AJ44" s="132">
        <v>534</v>
      </c>
      <c r="AK44" s="133" t="str">
        <f>V28</f>
        <v>SD TRNOVSKA A</v>
      </c>
    </row>
    <row r="45" spans="3:37" ht="11.25" customHeight="1">
      <c r="C45" s="89" t="s">
        <v>29</v>
      </c>
      <c r="D45" s="98" t="s">
        <v>61</v>
      </c>
      <c r="E45" s="91" t="s">
        <v>86</v>
      </c>
      <c r="F45" s="93">
        <v>171</v>
      </c>
      <c r="G45" s="92">
        <v>166</v>
      </c>
      <c r="H45" s="92">
        <v>174</v>
      </c>
      <c r="I45" s="92">
        <v>172</v>
      </c>
      <c r="J45" s="92">
        <v>171</v>
      </c>
      <c r="K45" s="92">
        <v>169</v>
      </c>
      <c r="L45" s="92">
        <v>163</v>
      </c>
      <c r="M45" s="92">
        <v>169</v>
      </c>
      <c r="N45" s="92">
        <v>162</v>
      </c>
      <c r="O45" s="97">
        <f t="shared" si="0"/>
        <v>1517</v>
      </c>
      <c r="P45" s="94">
        <f t="shared" si="1"/>
        <v>162</v>
      </c>
      <c r="Q45" s="95">
        <f t="shared" si="3"/>
        <v>168.55555555555554</v>
      </c>
      <c r="R45" s="96">
        <f t="shared" si="2"/>
        <v>1355</v>
      </c>
      <c r="S45" s="47"/>
      <c r="T45" s="164"/>
      <c r="U45" s="124" t="s">
        <v>134</v>
      </c>
      <c r="V45" s="121"/>
      <c r="W45" s="121"/>
      <c r="X45" s="146"/>
      <c r="AD45" s="121"/>
      <c r="AE45" s="134" t="str">
        <f>V35</f>
        <v>SD VELKA A</v>
      </c>
      <c r="AF45" s="135">
        <v>529</v>
      </c>
      <c r="AG45" s="149">
        <v>3</v>
      </c>
      <c r="AH45" s="168" t="s">
        <v>128</v>
      </c>
      <c r="AI45" s="169">
        <v>1</v>
      </c>
      <c r="AJ45" s="138">
        <v>475</v>
      </c>
      <c r="AK45" s="139" t="str">
        <f>V29</f>
        <v>SD SELCI</v>
      </c>
    </row>
    <row r="46" spans="3:37" ht="11.25" customHeight="1">
      <c r="C46" s="106" t="s">
        <v>30</v>
      </c>
      <c r="D46" s="28" t="s">
        <v>60</v>
      </c>
      <c r="E46" s="31" t="s">
        <v>66</v>
      </c>
      <c r="F46" s="5">
        <v>168</v>
      </c>
      <c r="G46" s="5">
        <v>164</v>
      </c>
      <c r="H46" s="5">
        <v>172</v>
      </c>
      <c r="I46" s="5">
        <v>174</v>
      </c>
      <c r="J46" s="5">
        <v>160</v>
      </c>
      <c r="K46" s="5">
        <v>149</v>
      </c>
      <c r="L46" s="5">
        <v>169</v>
      </c>
      <c r="M46" s="5">
        <v>174</v>
      </c>
      <c r="N46" s="5">
        <v>174</v>
      </c>
      <c r="O46" s="19">
        <f t="shared" si="0"/>
        <v>1504</v>
      </c>
      <c r="P46" s="20">
        <f t="shared" si="1"/>
        <v>149</v>
      </c>
      <c r="Q46" s="87">
        <f t="shared" si="3"/>
        <v>167.11111111111111</v>
      </c>
      <c r="R46" s="48">
        <f t="shared" si="2"/>
        <v>1355</v>
      </c>
      <c r="S46" s="47"/>
      <c r="T46" s="164"/>
      <c r="U46" s="124" t="s">
        <v>132</v>
      </c>
      <c r="V46" s="121"/>
      <c r="W46" s="121"/>
      <c r="X46" s="146"/>
      <c r="AD46" s="121"/>
      <c r="AE46" s="134" t="str">
        <f>V34</f>
        <v>CERKVENJAK</v>
      </c>
      <c r="AF46" s="135">
        <v>490</v>
      </c>
      <c r="AG46" s="149">
        <v>3</v>
      </c>
      <c r="AH46" s="168" t="s">
        <v>128</v>
      </c>
      <c r="AI46" s="169">
        <v>1</v>
      </c>
      <c r="AJ46" s="138">
        <v>321</v>
      </c>
      <c r="AK46" s="139" t="str">
        <f>V30</f>
        <v>SD VELKA B</v>
      </c>
    </row>
    <row r="47" spans="3:37" ht="11.25" customHeight="1">
      <c r="C47" s="89" t="s">
        <v>31</v>
      </c>
      <c r="D47" s="98" t="s">
        <v>95</v>
      </c>
      <c r="E47" s="91" t="s">
        <v>70</v>
      </c>
      <c r="F47" s="93">
        <v>167</v>
      </c>
      <c r="G47" s="92">
        <v>163</v>
      </c>
      <c r="H47" s="92">
        <v>168</v>
      </c>
      <c r="I47" s="92">
        <v>179</v>
      </c>
      <c r="J47" s="92">
        <v>155</v>
      </c>
      <c r="K47" s="92">
        <v>153</v>
      </c>
      <c r="L47" s="92">
        <v>160</v>
      </c>
      <c r="M47" s="92">
        <v>163</v>
      </c>
      <c r="N47" s="92">
        <v>169</v>
      </c>
      <c r="O47" s="97">
        <f t="shared" si="0"/>
        <v>1477</v>
      </c>
      <c r="P47" s="94">
        <f t="shared" si="1"/>
        <v>153</v>
      </c>
      <c r="Q47" s="95">
        <f t="shared" si="3"/>
        <v>164.11111111111111</v>
      </c>
      <c r="R47" s="96">
        <f t="shared" si="2"/>
        <v>1324</v>
      </c>
      <c r="S47" s="47"/>
      <c r="T47" s="164"/>
      <c r="U47" s="124" t="s">
        <v>130</v>
      </c>
      <c r="V47" s="121"/>
      <c r="W47" s="121"/>
      <c r="X47" s="146"/>
      <c r="Y47" s="146"/>
      <c r="Z47" s="146"/>
      <c r="AA47" s="146"/>
      <c r="AB47" s="146"/>
      <c r="AC47" s="146"/>
      <c r="AD47" s="121"/>
      <c r="AE47" s="134" t="str">
        <f>V33</f>
        <v>SD OSEK A</v>
      </c>
      <c r="AF47" s="135">
        <v>530</v>
      </c>
      <c r="AG47" s="149">
        <v>3</v>
      </c>
      <c r="AH47" s="168" t="s">
        <v>128</v>
      </c>
      <c r="AI47" s="169">
        <v>1</v>
      </c>
      <c r="AJ47" s="138">
        <v>523</v>
      </c>
      <c r="AK47" s="139" t="str">
        <f>V31</f>
        <v>VITOMARCI</v>
      </c>
    </row>
    <row r="48" spans="3:37" ht="11.25" customHeight="1" thickBot="1">
      <c r="C48" s="27" t="s">
        <v>32</v>
      </c>
      <c r="D48" s="43" t="s">
        <v>92</v>
      </c>
      <c r="E48" s="31" t="s">
        <v>78</v>
      </c>
      <c r="F48" s="42">
        <v>158</v>
      </c>
      <c r="G48" s="42">
        <v>154</v>
      </c>
      <c r="H48" s="42">
        <v>162</v>
      </c>
      <c r="I48" s="42">
        <v>162</v>
      </c>
      <c r="J48" s="42">
        <v>168</v>
      </c>
      <c r="K48" s="42">
        <v>172</v>
      </c>
      <c r="L48" s="42">
        <v>171</v>
      </c>
      <c r="M48" s="42">
        <v>164</v>
      </c>
      <c r="N48" s="42">
        <v>162</v>
      </c>
      <c r="O48" s="19">
        <f t="shared" si="0"/>
        <v>1473</v>
      </c>
      <c r="P48" s="20">
        <f t="shared" si="1"/>
        <v>154</v>
      </c>
      <c r="Q48" s="87">
        <f t="shared" si="3"/>
        <v>163.66666666666666</v>
      </c>
      <c r="R48" s="48">
        <f t="shared" si="2"/>
        <v>1319</v>
      </c>
      <c r="S48" s="47"/>
      <c r="T48" s="164"/>
      <c r="U48" s="124" t="s">
        <v>129</v>
      </c>
      <c r="V48" s="121"/>
      <c r="W48" s="121"/>
      <c r="X48" s="146"/>
      <c r="Y48" s="146"/>
      <c r="Z48" s="146"/>
      <c r="AA48" s="146"/>
      <c r="AB48" s="146"/>
      <c r="AC48" s="146"/>
      <c r="AD48" s="121"/>
      <c r="AE48" s="140" t="str">
        <f>V32</f>
        <v>OSEK B</v>
      </c>
      <c r="AF48" s="141">
        <v>486</v>
      </c>
      <c r="AG48" s="152">
        <v>3</v>
      </c>
      <c r="AH48" s="170" t="s">
        <v>128</v>
      </c>
      <c r="AI48" s="171">
        <v>0</v>
      </c>
      <c r="AJ48" s="144">
        <v>0</v>
      </c>
      <c r="AK48" s="145" t="str">
        <f>V37</f>
        <v>PROSTI</v>
      </c>
    </row>
    <row r="49" spans="3:25" ht="11.25" customHeight="1">
      <c r="C49" s="89" t="s">
        <v>33</v>
      </c>
      <c r="D49" s="90" t="s">
        <v>85</v>
      </c>
      <c r="E49" s="91" t="s">
        <v>86</v>
      </c>
      <c r="F49" s="92">
        <v>162</v>
      </c>
      <c r="G49" s="92">
        <v>159</v>
      </c>
      <c r="H49" s="92">
        <v>167</v>
      </c>
      <c r="I49" s="92">
        <v>0</v>
      </c>
      <c r="J49" s="92">
        <v>158</v>
      </c>
      <c r="K49" s="92">
        <v>171</v>
      </c>
      <c r="L49" s="92">
        <v>169</v>
      </c>
      <c r="M49" s="92">
        <v>158</v>
      </c>
      <c r="N49" s="92">
        <v>163</v>
      </c>
      <c r="O49" s="97">
        <f t="shared" si="0"/>
        <v>1307</v>
      </c>
      <c r="P49" s="94">
        <f t="shared" si="1"/>
        <v>0</v>
      </c>
      <c r="Q49" s="95">
        <f>O49/8</f>
        <v>163.375</v>
      </c>
      <c r="R49" s="96">
        <f t="shared" si="2"/>
        <v>1307</v>
      </c>
      <c r="S49" s="47"/>
      <c r="T49" s="164"/>
      <c r="U49" s="124" t="s">
        <v>135</v>
      </c>
      <c r="V49" s="121"/>
      <c r="W49" s="121"/>
      <c r="X49" s="146"/>
      <c r="Y49" s="146"/>
    </row>
    <row r="50" spans="3:25" ht="11.25" customHeight="1">
      <c r="C50" s="27" t="s">
        <v>34</v>
      </c>
      <c r="D50" s="43" t="s">
        <v>81</v>
      </c>
      <c r="E50" s="31" t="s">
        <v>56</v>
      </c>
      <c r="F50" s="42">
        <v>163</v>
      </c>
      <c r="G50" s="5">
        <v>167</v>
      </c>
      <c r="H50" s="5">
        <v>157</v>
      </c>
      <c r="I50" s="5">
        <v>158</v>
      </c>
      <c r="J50" s="5">
        <v>161</v>
      </c>
      <c r="K50" s="5">
        <v>146</v>
      </c>
      <c r="L50" s="5">
        <v>156</v>
      </c>
      <c r="M50" s="5">
        <v>170</v>
      </c>
      <c r="N50" s="5">
        <v>168</v>
      </c>
      <c r="O50" s="19">
        <f t="shared" si="0"/>
        <v>1446</v>
      </c>
      <c r="P50" s="20">
        <f t="shared" si="1"/>
        <v>146</v>
      </c>
      <c r="Q50" s="87">
        <f>AVERAGE(F50:N50)</f>
        <v>160.66666666666666</v>
      </c>
      <c r="R50" s="48">
        <f t="shared" si="2"/>
        <v>1300</v>
      </c>
      <c r="S50" s="47"/>
      <c r="T50" s="164"/>
      <c r="U50" s="124" t="s">
        <v>133</v>
      </c>
      <c r="V50" s="121"/>
      <c r="W50" s="121"/>
      <c r="X50" s="146"/>
      <c r="Y50" s="146"/>
    </row>
    <row r="51" spans="3:25" ht="11.25" customHeight="1">
      <c r="C51" s="89" t="s">
        <v>35</v>
      </c>
      <c r="D51" s="90" t="s">
        <v>88</v>
      </c>
      <c r="E51" s="91" t="s">
        <v>68</v>
      </c>
      <c r="F51" s="92">
        <v>157</v>
      </c>
      <c r="G51" s="93">
        <v>165</v>
      </c>
      <c r="H51" s="93">
        <v>138</v>
      </c>
      <c r="I51" s="93">
        <v>147</v>
      </c>
      <c r="J51" s="93">
        <v>165</v>
      </c>
      <c r="K51" s="93">
        <v>155</v>
      </c>
      <c r="L51" s="93">
        <v>179</v>
      </c>
      <c r="M51" s="93">
        <v>176</v>
      </c>
      <c r="N51" s="93">
        <v>152</v>
      </c>
      <c r="O51" s="97">
        <f t="shared" si="0"/>
        <v>1434</v>
      </c>
      <c r="P51" s="94">
        <f t="shared" si="1"/>
        <v>138</v>
      </c>
      <c r="Q51" s="95">
        <f>AVERAGE(F51:N51)</f>
        <v>159.33333333333334</v>
      </c>
      <c r="R51" s="99">
        <f t="shared" si="2"/>
        <v>1296</v>
      </c>
      <c r="S51" s="47"/>
      <c r="T51" s="164"/>
      <c r="U51" s="124" t="s">
        <v>131</v>
      </c>
      <c r="V51" s="121"/>
      <c r="W51" s="121"/>
      <c r="X51" s="146"/>
      <c r="Y51" s="146"/>
    </row>
    <row r="52" spans="3:22" ht="11.25" customHeight="1">
      <c r="C52" s="27" t="s">
        <v>36</v>
      </c>
      <c r="D52" s="28" t="s">
        <v>55</v>
      </c>
      <c r="E52" s="31" t="s">
        <v>56</v>
      </c>
      <c r="F52" s="5">
        <v>155</v>
      </c>
      <c r="G52" s="5">
        <v>154</v>
      </c>
      <c r="H52" s="5">
        <v>0</v>
      </c>
      <c r="I52" s="5">
        <v>164</v>
      </c>
      <c r="J52" s="5">
        <v>153</v>
      </c>
      <c r="K52" s="5">
        <v>162</v>
      </c>
      <c r="L52" s="5">
        <v>168</v>
      </c>
      <c r="M52" s="5">
        <v>167</v>
      </c>
      <c r="N52" s="5">
        <v>158</v>
      </c>
      <c r="O52" s="19">
        <f t="shared" si="0"/>
        <v>1281</v>
      </c>
      <c r="P52" s="20">
        <f t="shared" si="1"/>
        <v>0</v>
      </c>
      <c r="Q52" s="87">
        <f>O52/8</f>
        <v>160.125</v>
      </c>
      <c r="R52" s="48">
        <f t="shared" si="2"/>
        <v>1281</v>
      </c>
      <c r="S52" s="47"/>
      <c r="T52" s="164"/>
      <c r="V52" s="1"/>
    </row>
    <row r="53" spans="3:22" ht="11.25" customHeight="1">
      <c r="C53" s="89" t="s">
        <v>37</v>
      </c>
      <c r="D53" s="90" t="s">
        <v>63</v>
      </c>
      <c r="E53" s="91" t="s">
        <v>64</v>
      </c>
      <c r="F53" s="92">
        <v>149</v>
      </c>
      <c r="G53" s="92">
        <v>155</v>
      </c>
      <c r="H53" s="92">
        <v>161</v>
      </c>
      <c r="I53" s="92">
        <v>160</v>
      </c>
      <c r="J53" s="92">
        <v>163</v>
      </c>
      <c r="K53" s="92">
        <v>168</v>
      </c>
      <c r="L53" s="92">
        <v>160</v>
      </c>
      <c r="M53" s="92">
        <v>160</v>
      </c>
      <c r="N53" s="92">
        <v>139</v>
      </c>
      <c r="O53" s="97">
        <f t="shared" si="0"/>
        <v>1415</v>
      </c>
      <c r="P53" s="94">
        <f t="shared" si="1"/>
        <v>139</v>
      </c>
      <c r="Q53" s="95">
        <f>AVERAGE(F53:N53)</f>
        <v>157.22222222222223</v>
      </c>
      <c r="R53" s="99">
        <f t="shared" si="2"/>
        <v>1276</v>
      </c>
      <c r="S53" s="47"/>
      <c r="T53" s="164"/>
      <c r="V53" s="1"/>
    </row>
    <row r="54" spans="3:22" ht="11.25" customHeight="1">
      <c r="C54" s="27" t="s">
        <v>38</v>
      </c>
      <c r="D54" s="28" t="s">
        <v>76</v>
      </c>
      <c r="E54" s="31" t="s">
        <v>66</v>
      </c>
      <c r="F54" s="5">
        <v>160</v>
      </c>
      <c r="G54" s="5">
        <v>161</v>
      </c>
      <c r="H54" s="5">
        <v>147</v>
      </c>
      <c r="I54" s="5">
        <v>160</v>
      </c>
      <c r="J54" s="5">
        <v>154</v>
      </c>
      <c r="K54" s="5">
        <v>169</v>
      </c>
      <c r="L54" s="5">
        <v>164</v>
      </c>
      <c r="M54" s="5">
        <v>156</v>
      </c>
      <c r="N54" s="5">
        <v>0</v>
      </c>
      <c r="O54" s="19">
        <f t="shared" si="0"/>
        <v>1271</v>
      </c>
      <c r="P54" s="20">
        <f t="shared" si="1"/>
        <v>0</v>
      </c>
      <c r="Q54" s="87">
        <f>O54/8</f>
        <v>158.875</v>
      </c>
      <c r="R54" s="48">
        <f t="shared" si="2"/>
        <v>1271</v>
      </c>
      <c r="S54" s="47"/>
      <c r="T54" s="164"/>
      <c r="V54" s="1"/>
    </row>
    <row r="55" spans="3:22" ht="11.25" customHeight="1">
      <c r="C55" s="89" t="s">
        <v>39</v>
      </c>
      <c r="D55" s="90" t="s">
        <v>99</v>
      </c>
      <c r="E55" s="91" t="s">
        <v>68</v>
      </c>
      <c r="F55" s="92">
        <v>133</v>
      </c>
      <c r="G55" s="92">
        <v>156</v>
      </c>
      <c r="H55" s="92">
        <v>169</v>
      </c>
      <c r="I55" s="92">
        <v>160</v>
      </c>
      <c r="J55" s="92">
        <v>160</v>
      </c>
      <c r="K55" s="92">
        <v>133</v>
      </c>
      <c r="L55" s="92">
        <v>161</v>
      </c>
      <c r="M55" s="92">
        <v>166</v>
      </c>
      <c r="N55" s="92">
        <v>165</v>
      </c>
      <c r="O55" s="97">
        <f t="shared" si="0"/>
        <v>1403</v>
      </c>
      <c r="P55" s="94">
        <f t="shared" si="1"/>
        <v>133</v>
      </c>
      <c r="Q55" s="95">
        <f>AVERAGE(F55:N55)</f>
        <v>155.88888888888889</v>
      </c>
      <c r="R55" s="96">
        <f t="shared" si="2"/>
        <v>1270</v>
      </c>
      <c r="S55" s="47"/>
      <c r="T55" s="164"/>
      <c r="V55" s="1"/>
    </row>
    <row r="56" spans="3:22" ht="11.25" customHeight="1">
      <c r="C56" s="27" t="s">
        <v>40</v>
      </c>
      <c r="D56" s="43" t="s">
        <v>82</v>
      </c>
      <c r="E56" s="31" t="s">
        <v>78</v>
      </c>
      <c r="F56" s="42">
        <v>147</v>
      </c>
      <c r="G56" s="5">
        <v>162</v>
      </c>
      <c r="H56" s="5">
        <v>152</v>
      </c>
      <c r="I56" s="5">
        <v>153</v>
      </c>
      <c r="J56" s="5">
        <v>165</v>
      </c>
      <c r="K56" s="5">
        <v>161</v>
      </c>
      <c r="L56" s="5">
        <v>152</v>
      </c>
      <c r="M56" s="5">
        <v>155</v>
      </c>
      <c r="N56" s="5">
        <v>154</v>
      </c>
      <c r="O56" s="19">
        <f t="shared" si="0"/>
        <v>1401</v>
      </c>
      <c r="P56" s="20">
        <f t="shared" si="1"/>
        <v>147</v>
      </c>
      <c r="Q56" s="87">
        <f>AVERAGE(F56:N56)</f>
        <v>155.66666666666666</v>
      </c>
      <c r="R56" s="49">
        <f t="shared" si="2"/>
        <v>1254</v>
      </c>
      <c r="S56" s="47"/>
      <c r="T56" s="164"/>
      <c r="V56" s="1"/>
    </row>
    <row r="57" spans="3:22" ht="11.25" customHeight="1">
      <c r="C57" s="89" t="s">
        <v>41</v>
      </c>
      <c r="D57" s="90" t="s">
        <v>71</v>
      </c>
      <c r="E57" s="91" t="s">
        <v>56</v>
      </c>
      <c r="F57" s="92">
        <v>151</v>
      </c>
      <c r="G57" s="92">
        <v>159</v>
      </c>
      <c r="H57" s="92">
        <v>155</v>
      </c>
      <c r="I57" s="92">
        <v>155</v>
      </c>
      <c r="J57" s="92">
        <v>143</v>
      </c>
      <c r="K57" s="92">
        <v>142</v>
      </c>
      <c r="L57" s="92">
        <v>162</v>
      </c>
      <c r="M57" s="92">
        <v>161</v>
      </c>
      <c r="N57" s="92">
        <v>149</v>
      </c>
      <c r="O57" s="97">
        <f t="shared" si="0"/>
        <v>1377</v>
      </c>
      <c r="P57" s="94">
        <f t="shared" si="1"/>
        <v>142</v>
      </c>
      <c r="Q57" s="95">
        <f>AVERAGE(F57:N57)</f>
        <v>153</v>
      </c>
      <c r="R57" s="96">
        <f t="shared" si="2"/>
        <v>1235</v>
      </c>
      <c r="S57" s="47"/>
      <c r="T57" s="164"/>
      <c r="V57" s="1"/>
    </row>
    <row r="58" spans="3:22" ht="11.25" customHeight="1">
      <c r="C58" s="27" t="s">
        <v>42</v>
      </c>
      <c r="D58" s="43" t="s">
        <v>59</v>
      </c>
      <c r="E58" s="31" t="s">
        <v>66</v>
      </c>
      <c r="F58" s="42">
        <v>156</v>
      </c>
      <c r="G58" s="5">
        <v>144</v>
      </c>
      <c r="H58" s="5">
        <v>0</v>
      </c>
      <c r="I58" s="5">
        <v>150</v>
      </c>
      <c r="J58" s="5">
        <v>152</v>
      </c>
      <c r="K58" s="5">
        <v>158</v>
      </c>
      <c r="L58" s="5">
        <v>138</v>
      </c>
      <c r="M58" s="5">
        <v>156</v>
      </c>
      <c r="N58" s="5">
        <v>147</v>
      </c>
      <c r="O58" s="19">
        <f t="shared" si="0"/>
        <v>1201</v>
      </c>
      <c r="P58" s="20">
        <f t="shared" si="1"/>
        <v>0</v>
      </c>
      <c r="Q58" s="87">
        <f>O58/8</f>
        <v>150.125</v>
      </c>
      <c r="R58" s="48">
        <f t="shared" si="2"/>
        <v>1201</v>
      </c>
      <c r="S58" s="47"/>
      <c r="T58" s="164"/>
      <c r="V58" s="1"/>
    </row>
    <row r="59" spans="3:22" ht="11.25" customHeight="1">
      <c r="C59" s="89" t="s">
        <v>43</v>
      </c>
      <c r="D59" s="90" t="s">
        <v>80</v>
      </c>
      <c r="E59" s="91" t="s">
        <v>56</v>
      </c>
      <c r="F59" s="92">
        <v>141</v>
      </c>
      <c r="G59" s="92">
        <v>136</v>
      </c>
      <c r="H59" s="92">
        <v>143</v>
      </c>
      <c r="I59" s="92">
        <v>149</v>
      </c>
      <c r="J59" s="92">
        <v>143</v>
      </c>
      <c r="K59" s="92">
        <v>154</v>
      </c>
      <c r="L59" s="92">
        <v>149</v>
      </c>
      <c r="M59" s="92">
        <v>141</v>
      </c>
      <c r="N59" s="92">
        <v>153</v>
      </c>
      <c r="O59" s="97">
        <f t="shared" si="0"/>
        <v>1309</v>
      </c>
      <c r="P59" s="94">
        <f t="shared" si="1"/>
        <v>136</v>
      </c>
      <c r="Q59" s="95">
        <f>AVERAGE(F59:N59)</f>
        <v>145.44444444444446</v>
      </c>
      <c r="R59" s="99">
        <f t="shared" si="2"/>
        <v>1173</v>
      </c>
      <c r="S59" s="47"/>
      <c r="T59" s="164"/>
      <c r="V59" s="1"/>
    </row>
    <row r="60" spans="3:22" ht="11.25" customHeight="1">
      <c r="C60" s="27" t="s">
        <v>44</v>
      </c>
      <c r="D60" s="28" t="s">
        <v>101</v>
      </c>
      <c r="E60" s="31" t="s">
        <v>12</v>
      </c>
      <c r="F60" s="5">
        <v>126</v>
      </c>
      <c r="G60" s="42">
        <v>150</v>
      </c>
      <c r="H60" s="42">
        <v>139</v>
      </c>
      <c r="I60" s="42">
        <v>135</v>
      </c>
      <c r="J60" s="42">
        <v>154</v>
      </c>
      <c r="K60" s="42">
        <v>149</v>
      </c>
      <c r="L60" s="42">
        <v>144</v>
      </c>
      <c r="M60" s="42">
        <v>150</v>
      </c>
      <c r="N60" s="42">
        <v>146</v>
      </c>
      <c r="O60" s="19">
        <f t="shared" si="0"/>
        <v>1293</v>
      </c>
      <c r="P60" s="20">
        <f t="shared" si="1"/>
        <v>126</v>
      </c>
      <c r="Q60" s="87">
        <f>AVERAGE(F60:N60)</f>
        <v>143.66666666666666</v>
      </c>
      <c r="R60" s="49">
        <f t="shared" si="2"/>
        <v>1167</v>
      </c>
      <c r="S60" s="47"/>
      <c r="T60" s="164"/>
      <c r="V60" s="1"/>
    </row>
    <row r="61" spans="3:22" ht="11.25" customHeight="1">
      <c r="C61" s="89" t="s">
        <v>45</v>
      </c>
      <c r="D61" s="90" t="s">
        <v>122</v>
      </c>
      <c r="E61" s="91" t="s">
        <v>12</v>
      </c>
      <c r="F61" s="92">
        <v>145</v>
      </c>
      <c r="G61" s="92">
        <v>155</v>
      </c>
      <c r="H61" s="92">
        <v>121</v>
      </c>
      <c r="I61" s="92">
        <v>139</v>
      </c>
      <c r="J61" s="92">
        <v>135</v>
      </c>
      <c r="K61" s="92">
        <v>157</v>
      </c>
      <c r="L61" s="92">
        <v>154</v>
      </c>
      <c r="M61" s="92">
        <v>146</v>
      </c>
      <c r="N61" s="92">
        <v>114</v>
      </c>
      <c r="O61" s="93">
        <f t="shared" si="0"/>
        <v>1266</v>
      </c>
      <c r="P61" s="94">
        <f t="shared" si="1"/>
        <v>114</v>
      </c>
      <c r="Q61" s="95">
        <f>AVERAGE(F61:N61)</f>
        <v>140.66666666666666</v>
      </c>
      <c r="R61" s="96">
        <f t="shared" si="2"/>
        <v>1152</v>
      </c>
      <c r="S61" s="47"/>
      <c r="T61" s="164"/>
      <c r="V61" s="1"/>
    </row>
    <row r="62" spans="3:22" ht="11.25" customHeight="1">
      <c r="C62" s="27" t="s">
        <v>47</v>
      </c>
      <c r="D62" s="28" t="s">
        <v>109</v>
      </c>
      <c r="E62" s="31" t="s">
        <v>68</v>
      </c>
      <c r="F62" s="5">
        <v>0</v>
      </c>
      <c r="G62" s="107">
        <v>137</v>
      </c>
      <c r="H62" s="5">
        <v>0</v>
      </c>
      <c r="I62" s="5">
        <v>161</v>
      </c>
      <c r="J62" s="5">
        <v>153</v>
      </c>
      <c r="K62" s="5">
        <v>163</v>
      </c>
      <c r="L62" s="5">
        <v>136</v>
      </c>
      <c r="M62" s="5">
        <v>150</v>
      </c>
      <c r="N62" s="5">
        <v>172</v>
      </c>
      <c r="O62" s="19">
        <f t="shared" si="0"/>
        <v>1072</v>
      </c>
      <c r="P62" s="20">
        <f t="shared" si="1"/>
        <v>0</v>
      </c>
      <c r="Q62" s="87">
        <f>O62/7</f>
        <v>153.14285714285714</v>
      </c>
      <c r="R62" s="49">
        <f t="shared" si="2"/>
        <v>1072</v>
      </c>
      <c r="S62" s="47"/>
      <c r="T62" s="164"/>
      <c r="V62" s="15"/>
    </row>
    <row r="63" spans="3:22" ht="11.25" customHeight="1">
      <c r="C63" s="89" t="s">
        <v>48</v>
      </c>
      <c r="D63" s="100" t="s">
        <v>96</v>
      </c>
      <c r="E63" s="101" t="s">
        <v>68</v>
      </c>
      <c r="F63" s="102">
        <v>150</v>
      </c>
      <c r="G63" s="93">
        <v>111</v>
      </c>
      <c r="H63" s="93">
        <v>152</v>
      </c>
      <c r="I63" s="93">
        <v>159</v>
      </c>
      <c r="J63" s="93">
        <v>164</v>
      </c>
      <c r="K63" s="93">
        <v>147</v>
      </c>
      <c r="L63" s="93">
        <v>0</v>
      </c>
      <c r="M63" s="93">
        <v>0</v>
      </c>
      <c r="N63" s="93">
        <v>162</v>
      </c>
      <c r="O63" s="93">
        <f t="shared" si="0"/>
        <v>1045</v>
      </c>
      <c r="P63" s="94">
        <f t="shared" si="1"/>
        <v>0</v>
      </c>
      <c r="Q63" s="95">
        <f>O63/7</f>
        <v>149.28571428571428</v>
      </c>
      <c r="R63" s="96">
        <f t="shared" si="2"/>
        <v>1045</v>
      </c>
      <c r="S63" s="47"/>
      <c r="T63" s="164"/>
      <c r="V63" s="15"/>
    </row>
    <row r="64" spans="3:22" ht="11.25" customHeight="1">
      <c r="C64" s="27" t="s">
        <v>49</v>
      </c>
      <c r="D64" s="28" t="s">
        <v>91</v>
      </c>
      <c r="E64" s="31" t="s">
        <v>70</v>
      </c>
      <c r="F64" s="5">
        <v>163</v>
      </c>
      <c r="G64" s="5">
        <v>176</v>
      </c>
      <c r="H64" s="5">
        <v>167</v>
      </c>
      <c r="I64" s="5">
        <v>170</v>
      </c>
      <c r="J64" s="5">
        <v>169</v>
      </c>
      <c r="K64" s="5">
        <v>159</v>
      </c>
      <c r="L64" s="5">
        <v>0</v>
      </c>
      <c r="M64" s="5">
        <v>0</v>
      </c>
      <c r="N64" s="5">
        <v>0</v>
      </c>
      <c r="O64" s="42">
        <f t="shared" si="0"/>
        <v>1004</v>
      </c>
      <c r="P64" s="20">
        <f t="shared" si="1"/>
        <v>0</v>
      </c>
      <c r="Q64" s="87">
        <f>O64/6</f>
        <v>167.33333333333334</v>
      </c>
      <c r="R64" s="48">
        <f t="shared" si="2"/>
        <v>1004</v>
      </c>
      <c r="S64" s="47"/>
      <c r="T64" s="164"/>
      <c r="V64" s="15"/>
    </row>
    <row r="65" spans="3:22" ht="11.25" customHeight="1">
      <c r="C65" s="89" t="s">
        <v>50</v>
      </c>
      <c r="D65" s="90" t="s">
        <v>100</v>
      </c>
      <c r="E65" s="91" t="s">
        <v>12</v>
      </c>
      <c r="F65" s="92">
        <v>147</v>
      </c>
      <c r="G65" s="92">
        <v>160</v>
      </c>
      <c r="H65" s="92">
        <v>155</v>
      </c>
      <c r="I65" s="92">
        <v>0</v>
      </c>
      <c r="J65" s="92">
        <v>0</v>
      </c>
      <c r="K65" s="92">
        <v>168</v>
      </c>
      <c r="L65" s="92">
        <v>172</v>
      </c>
      <c r="M65" s="92">
        <v>0</v>
      </c>
      <c r="N65" s="92">
        <v>165</v>
      </c>
      <c r="O65" s="97">
        <f t="shared" si="0"/>
        <v>967</v>
      </c>
      <c r="P65" s="94">
        <f t="shared" si="1"/>
        <v>0</v>
      </c>
      <c r="Q65" s="95">
        <f>O65/6</f>
        <v>161.16666666666666</v>
      </c>
      <c r="R65" s="96">
        <f t="shared" si="2"/>
        <v>967</v>
      </c>
      <c r="S65" s="47"/>
      <c r="T65" s="164"/>
      <c r="V65" s="15"/>
    </row>
    <row r="66" spans="3:22" ht="11.25" customHeight="1">
      <c r="C66" s="27" t="s">
        <v>51</v>
      </c>
      <c r="D66" s="44" t="s">
        <v>112</v>
      </c>
      <c r="E66" s="67" t="s">
        <v>12</v>
      </c>
      <c r="F66" s="61">
        <v>0</v>
      </c>
      <c r="G66" s="61">
        <v>159</v>
      </c>
      <c r="H66" s="61">
        <v>0</v>
      </c>
      <c r="I66" s="61">
        <v>160</v>
      </c>
      <c r="J66" s="61">
        <v>160</v>
      </c>
      <c r="K66" s="61">
        <v>154</v>
      </c>
      <c r="L66" s="61">
        <v>149</v>
      </c>
      <c r="M66" s="42">
        <v>0</v>
      </c>
      <c r="N66" s="61">
        <v>167</v>
      </c>
      <c r="O66" s="19">
        <f t="shared" si="0"/>
        <v>949</v>
      </c>
      <c r="P66" s="20">
        <f t="shared" si="1"/>
        <v>0</v>
      </c>
      <c r="Q66" s="87">
        <f>O66/6</f>
        <v>158.16666666666666</v>
      </c>
      <c r="R66" s="49">
        <f t="shared" si="2"/>
        <v>949</v>
      </c>
      <c r="S66" s="47"/>
      <c r="T66" s="164"/>
      <c r="V66" s="15"/>
    </row>
    <row r="67" spans="3:22" ht="11.25" customHeight="1">
      <c r="C67" s="89" t="s">
        <v>53</v>
      </c>
      <c r="D67" s="100" t="s">
        <v>110</v>
      </c>
      <c r="E67" s="91" t="s">
        <v>12</v>
      </c>
      <c r="F67" s="92">
        <v>0</v>
      </c>
      <c r="G67" s="93">
        <v>163</v>
      </c>
      <c r="H67" s="93">
        <v>0</v>
      </c>
      <c r="I67" s="93">
        <v>158</v>
      </c>
      <c r="J67" s="93">
        <v>156</v>
      </c>
      <c r="K67" s="93">
        <v>0</v>
      </c>
      <c r="L67" s="93">
        <v>0</v>
      </c>
      <c r="M67" s="93">
        <v>0</v>
      </c>
      <c r="N67" s="93">
        <v>170</v>
      </c>
      <c r="O67" s="97">
        <f t="shared" si="0"/>
        <v>647</v>
      </c>
      <c r="P67" s="94">
        <f t="shared" si="1"/>
        <v>0</v>
      </c>
      <c r="Q67" s="95">
        <f>O67/4</f>
        <v>161.75</v>
      </c>
      <c r="R67" s="99">
        <f t="shared" si="2"/>
        <v>647</v>
      </c>
      <c r="S67" s="47"/>
      <c r="T67" s="164"/>
      <c r="V67" s="15"/>
    </row>
    <row r="68" spans="3:22" ht="11.25" customHeight="1">
      <c r="C68" s="27" t="s">
        <v>102</v>
      </c>
      <c r="D68" s="28" t="s">
        <v>111</v>
      </c>
      <c r="E68" s="31" t="s">
        <v>107</v>
      </c>
      <c r="F68" s="5">
        <v>0</v>
      </c>
      <c r="G68" s="42">
        <v>155</v>
      </c>
      <c r="H68" s="42">
        <v>0</v>
      </c>
      <c r="I68" s="42">
        <v>0</v>
      </c>
      <c r="J68" s="42">
        <v>165</v>
      </c>
      <c r="K68" s="42">
        <v>0</v>
      </c>
      <c r="L68" s="42">
        <v>167</v>
      </c>
      <c r="M68" s="42">
        <v>0</v>
      </c>
      <c r="N68" s="42">
        <v>0</v>
      </c>
      <c r="O68" s="19">
        <f t="shared" si="0"/>
        <v>487</v>
      </c>
      <c r="P68" s="20">
        <f t="shared" si="1"/>
        <v>0</v>
      </c>
      <c r="Q68" s="87">
        <f>O68/3</f>
        <v>162.33333333333334</v>
      </c>
      <c r="R68" s="49">
        <f t="shared" si="2"/>
        <v>487</v>
      </c>
      <c r="S68" s="47"/>
      <c r="T68" s="164"/>
      <c r="V68" s="15"/>
    </row>
    <row r="69" spans="3:22" ht="11.25" customHeight="1">
      <c r="C69" s="89" t="s">
        <v>113</v>
      </c>
      <c r="D69" s="90" t="s">
        <v>94</v>
      </c>
      <c r="E69" s="91" t="s">
        <v>83</v>
      </c>
      <c r="F69" s="92">
        <v>157</v>
      </c>
      <c r="G69" s="93">
        <v>130</v>
      </c>
      <c r="H69" s="93">
        <v>138</v>
      </c>
      <c r="I69" s="93">
        <v>0</v>
      </c>
      <c r="J69" s="93">
        <v>0</v>
      </c>
      <c r="K69" s="93">
        <v>0</v>
      </c>
      <c r="L69" s="93">
        <v>0</v>
      </c>
      <c r="M69" s="93">
        <v>0</v>
      </c>
      <c r="N69" s="93">
        <v>0</v>
      </c>
      <c r="O69" s="97">
        <f t="shared" si="0"/>
        <v>425</v>
      </c>
      <c r="P69" s="94">
        <f t="shared" si="1"/>
        <v>0</v>
      </c>
      <c r="Q69" s="95">
        <f>O69/3</f>
        <v>141.66666666666666</v>
      </c>
      <c r="R69" s="99">
        <f t="shared" si="2"/>
        <v>425</v>
      </c>
      <c r="S69" s="47"/>
      <c r="T69" s="164"/>
      <c r="U69" s="8"/>
      <c r="V69" s="15"/>
    </row>
    <row r="70" spans="3:22" ht="11.25" customHeight="1">
      <c r="C70" s="27" t="s">
        <v>114</v>
      </c>
      <c r="D70" s="44" t="s">
        <v>118</v>
      </c>
      <c r="E70" s="67" t="s">
        <v>86</v>
      </c>
      <c r="F70" s="5">
        <v>0</v>
      </c>
      <c r="G70" s="5">
        <v>0</v>
      </c>
      <c r="H70" s="5">
        <v>133</v>
      </c>
      <c r="I70" s="5">
        <v>142</v>
      </c>
      <c r="J70" s="5">
        <v>0</v>
      </c>
      <c r="K70" s="5">
        <v>0</v>
      </c>
      <c r="L70" s="5">
        <v>0</v>
      </c>
      <c r="M70" s="5">
        <v>0</v>
      </c>
      <c r="N70" s="5">
        <v>134</v>
      </c>
      <c r="O70" s="19">
        <f t="shared" si="0"/>
        <v>409</v>
      </c>
      <c r="P70" s="20">
        <f t="shared" si="1"/>
        <v>0</v>
      </c>
      <c r="Q70" s="87">
        <f>O70/3</f>
        <v>136.33333333333334</v>
      </c>
      <c r="R70" s="49">
        <f t="shared" si="2"/>
        <v>409</v>
      </c>
      <c r="S70" s="47"/>
      <c r="T70" s="164"/>
      <c r="U70" s="8"/>
      <c r="V70" s="15"/>
    </row>
    <row r="71" spans="3:22" ht="11.25" customHeight="1">
      <c r="C71" s="89" t="s">
        <v>115</v>
      </c>
      <c r="D71" s="90" t="s">
        <v>75</v>
      </c>
      <c r="E71" s="91" t="s">
        <v>73</v>
      </c>
      <c r="F71" s="92">
        <v>180</v>
      </c>
      <c r="G71" s="92">
        <v>176</v>
      </c>
      <c r="H71" s="92">
        <v>0</v>
      </c>
      <c r="I71" s="92">
        <v>0</v>
      </c>
      <c r="J71" s="92">
        <v>0</v>
      </c>
      <c r="K71" s="92">
        <v>0</v>
      </c>
      <c r="L71" s="92">
        <v>0</v>
      </c>
      <c r="M71" s="92">
        <v>0</v>
      </c>
      <c r="N71" s="92">
        <v>0</v>
      </c>
      <c r="O71" s="97">
        <f t="shared" si="0"/>
        <v>356</v>
      </c>
      <c r="P71" s="94">
        <f t="shared" si="1"/>
        <v>0</v>
      </c>
      <c r="Q71" s="95">
        <f>O71/2</f>
        <v>178</v>
      </c>
      <c r="R71" s="96">
        <f t="shared" si="2"/>
        <v>356</v>
      </c>
      <c r="S71" s="47"/>
      <c r="T71" s="164"/>
      <c r="U71" s="8"/>
      <c r="V71" s="15"/>
    </row>
    <row r="72" spans="3:22" ht="12" customHeight="1">
      <c r="C72" s="27" t="s">
        <v>116</v>
      </c>
      <c r="D72" s="44" t="s">
        <v>123</v>
      </c>
      <c r="E72" s="67" t="s">
        <v>107</v>
      </c>
      <c r="F72" s="61">
        <v>0</v>
      </c>
      <c r="G72" s="61">
        <v>0</v>
      </c>
      <c r="H72" s="61">
        <v>0</v>
      </c>
      <c r="I72" s="61">
        <v>0</v>
      </c>
      <c r="J72" s="61">
        <v>0</v>
      </c>
      <c r="K72" s="61">
        <v>0</v>
      </c>
      <c r="L72" s="61">
        <v>0</v>
      </c>
      <c r="M72" s="42">
        <v>170</v>
      </c>
      <c r="N72" s="61">
        <v>172</v>
      </c>
      <c r="O72" s="61">
        <f t="shared" si="0"/>
        <v>342</v>
      </c>
      <c r="P72" s="61">
        <f t="shared" si="1"/>
        <v>0</v>
      </c>
      <c r="Q72" s="87">
        <f>O72/2</f>
        <v>171</v>
      </c>
      <c r="R72" s="81">
        <f t="shared" si="2"/>
        <v>342</v>
      </c>
      <c r="S72" s="47"/>
      <c r="T72" s="164"/>
      <c r="U72" s="9"/>
      <c r="V72" s="15"/>
    </row>
    <row r="73" spans="3:21" ht="9.75" customHeight="1">
      <c r="C73" s="89" t="s">
        <v>119</v>
      </c>
      <c r="D73" s="103" t="s">
        <v>117</v>
      </c>
      <c r="E73" s="101" t="s">
        <v>65</v>
      </c>
      <c r="F73" s="92">
        <v>0</v>
      </c>
      <c r="G73" s="92">
        <v>0</v>
      </c>
      <c r="H73" s="92">
        <v>156</v>
      </c>
      <c r="I73" s="92">
        <v>0</v>
      </c>
      <c r="J73" s="92">
        <v>0</v>
      </c>
      <c r="K73" s="92">
        <v>163</v>
      </c>
      <c r="L73" s="92">
        <v>0</v>
      </c>
      <c r="M73" s="92">
        <v>0</v>
      </c>
      <c r="N73" s="92">
        <v>0</v>
      </c>
      <c r="O73" s="97">
        <f t="shared" si="0"/>
        <v>319</v>
      </c>
      <c r="P73" s="94">
        <f t="shared" si="1"/>
        <v>0</v>
      </c>
      <c r="Q73" s="95">
        <f>O73*2</f>
        <v>638</v>
      </c>
      <c r="R73" s="99">
        <f t="shared" si="2"/>
        <v>319</v>
      </c>
      <c r="S73" s="47"/>
      <c r="T73" s="164"/>
      <c r="U73" s="1"/>
    </row>
    <row r="74" spans="3:20" ht="11.25" customHeight="1">
      <c r="C74" s="27" t="s">
        <v>120</v>
      </c>
      <c r="D74" s="28" t="s">
        <v>57</v>
      </c>
      <c r="E74" s="31" t="s">
        <v>65</v>
      </c>
      <c r="F74" s="5">
        <v>144</v>
      </c>
      <c r="G74" s="5">
        <v>0</v>
      </c>
      <c r="H74" s="5">
        <v>0</v>
      </c>
      <c r="I74" s="5">
        <v>151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19">
        <f t="shared" si="0"/>
        <v>295</v>
      </c>
      <c r="P74" s="20">
        <f t="shared" si="1"/>
        <v>0</v>
      </c>
      <c r="Q74" s="87">
        <f>O74/2</f>
        <v>147.5</v>
      </c>
      <c r="R74" s="48">
        <f t="shared" si="2"/>
        <v>295</v>
      </c>
      <c r="S74" s="47"/>
      <c r="T74" s="164"/>
    </row>
    <row r="75" spans="3:21" ht="10.5" customHeight="1">
      <c r="C75" s="104" t="s">
        <v>124</v>
      </c>
      <c r="D75" s="90" t="s">
        <v>93</v>
      </c>
      <c r="E75" s="91" t="s">
        <v>86</v>
      </c>
      <c r="F75" s="92">
        <v>167</v>
      </c>
      <c r="G75" s="92">
        <v>0</v>
      </c>
      <c r="H75" s="92">
        <v>0</v>
      </c>
      <c r="I75" s="92">
        <v>0</v>
      </c>
      <c r="J75" s="92">
        <v>0</v>
      </c>
      <c r="K75" s="92">
        <v>0</v>
      </c>
      <c r="L75" s="92">
        <v>0</v>
      </c>
      <c r="M75" s="92">
        <v>0</v>
      </c>
      <c r="N75" s="92">
        <v>0</v>
      </c>
      <c r="O75" s="97">
        <f t="shared" si="0"/>
        <v>167</v>
      </c>
      <c r="P75" s="94">
        <f t="shared" si="1"/>
        <v>0</v>
      </c>
      <c r="Q75" s="95">
        <f>O75</f>
        <v>167</v>
      </c>
      <c r="R75" s="105">
        <f t="shared" si="2"/>
        <v>167</v>
      </c>
      <c r="T75" s="165"/>
      <c r="U75" s="1"/>
    </row>
    <row r="76" spans="3:21" ht="12" thickBot="1">
      <c r="C76" s="79" t="s">
        <v>126</v>
      </c>
      <c r="D76" s="80" t="s">
        <v>125</v>
      </c>
      <c r="E76" s="64" t="s">
        <v>86</v>
      </c>
      <c r="F76" s="65">
        <v>0</v>
      </c>
      <c r="G76" s="65">
        <v>0</v>
      </c>
      <c r="H76" s="65">
        <v>0</v>
      </c>
      <c r="I76" s="65">
        <v>0</v>
      </c>
      <c r="J76" s="65">
        <v>0</v>
      </c>
      <c r="K76" s="65">
        <v>0</v>
      </c>
      <c r="L76" s="65">
        <v>0</v>
      </c>
      <c r="M76" s="66">
        <v>156</v>
      </c>
      <c r="N76" s="65">
        <v>0</v>
      </c>
      <c r="O76" s="65">
        <f t="shared" si="0"/>
        <v>156</v>
      </c>
      <c r="P76" s="65">
        <f t="shared" si="1"/>
        <v>0</v>
      </c>
      <c r="Q76" s="88">
        <f>O76</f>
        <v>156</v>
      </c>
      <c r="R76" s="82">
        <f>O76-P76</f>
        <v>156</v>
      </c>
      <c r="T76" s="165"/>
      <c r="U76" s="1"/>
    </row>
    <row r="77" spans="4:21" ht="11.25">
      <c r="D77" s="39"/>
      <c r="T77" s="165"/>
      <c r="U77" s="1"/>
    </row>
    <row r="83" ht="11.25">
      <c r="D83" s="50"/>
    </row>
  </sheetData>
  <sheetProtection/>
  <mergeCells count="64">
    <mergeCell ref="C30:R30"/>
    <mergeCell ref="C6:D6"/>
    <mergeCell ref="P5:P7"/>
    <mergeCell ref="C10:C11"/>
    <mergeCell ref="C20:C21"/>
    <mergeCell ref="C24:C25"/>
    <mergeCell ref="C16:C17"/>
    <mergeCell ref="C22:C23"/>
    <mergeCell ref="D20:D21"/>
    <mergeCell ref="C29:R29"/>
    <mergeCell ref="C18:C19"/>
    <mergeCell ref="C8:C9"/>
    <mergeCell ref="C12:C13"/>
    <mergeCell ref="C14:C15"/>
    <mergeCell ref="D22:D23"/>
    <mergeCell ref="D18:D19"/>
    <mergeCell ref="D8:D9"/>
    <mergeCell ref="N20:N21"/>
    <mergeCell ref="N22:N23"/>
    <mergeCell ref="N18:N19"/>
    <mergeCell ref="P20:P21"/>
    <mergeCell ref="O20:O21"/>
    <mergeCell ref="O24:O25"/>
    <mergeCell ref="O18:O19"/>
    <mergeCell ref="O22:O23"/>
    <mergeCell ref="D24:D25"/>
    <mergeCell ref="P14:P15"/>
    <mergeCell ref="P10:P11"/>
    <mergeCell ref="D16:D17"/>
    <mergeCell ref="P24:P25"/>
    <mergeCell ref="N12:N13"/>
    <mergeCell ref="O10:O11"/>
    <mergeCell ref="O12:O13"/>
    <mergeCell ref="O14:O15"/>
    <mergeCell ref="O16:O17"/>
    <mergeCell ref="C2:P2"/>
    <mergeCell ref="C3:P4"/>
    <mergeCell ref="P8:P9"/>
    <mergeCell ref="N5:N7"/>
    <mergeCell ref="D12:D13"/>
    <mergeCell ref="D14:D15"/>
    <mergeCell ref="D10:D11"/>
    <mergeCell ref="N10:N11"/>
    <mergeCell ref="N14:N15"/>
    <mergeCell ref="X29:AC29"/>
    <mergeCell ref="P12:P13"/>
    <mergeCell ref="P16:P17"/>
    <mergeCell ref="N8:N9"/>
    <mergeCell ref="O5:O7"/>
    <mergeCell ref="O8:O9"/>
    <mergeCell ref="N24:N25"/>
    <mergeCell ref="N16:N17"/>
    <mergeCell ref="P22:P23"/>
    <mergeCell ref="P18:P19"/>
    <mergeCell ref="AE43:AK43"/>
    <mergeCell ref="AE36:AK36"/>
    <mergeCell ref="AE29:AK29"/>
    <mergeCell ref="AE22:AK22"/>
    <mergeCell ref="X36:AC36"/>
    <mergeCell ref="U15:V15"/>
    <mergeCell ref="U16:V16"/>
    <mergeCell ref="AE15:AK15"/>
    <mergeCell ref="X15:AC15"/>
    <mergeCell ref="X22:AC22"/>
  </mergeCells>
  <printOptions/>
  <pageMargins left="0.39" right="0.69" top="0.17" bottom="0.17" header="0" footer="0"/>
  <pageSetup horizontalDpi="600" verticalDpi="600" orientation="portrait" paperSize="9" r:id="rId1"/>
  <headerFooter alignWithMargins="0">
    <oddFooter>&amp;R&amp;8Podatke zbral in uredil: Franci Hameršak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xp</cp:lastModifiedBy>
  <cp:lastPrinted>2013-04-13T05:33:07Z</cp:lastPrinted>
  <dcterms:created xsi:type="dcterms:W3CDTF">1997-01-31T12:20:41Z</dcterms:created>
  <dcterms:modified xsi:type="dcterms:W3CDTF">2013-05-03T08:06:51Z</dcterms:modified>
  <cp:category/>
  <cp:version/>
  <cp:contentType/>
  <cp:contentStatus/>
</cp:coreProperties>
</file>