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210" activeTab="0"/>
  </bookViews>
  <sheets>
    <sheet name="List1" sheetId="1" r:id="rId1"/>
    <sheet name="List4" sheetId="2" r:id="rId2"/>
  </sheets>
  <definedNames/>
  <calcPr fullCalcOnLoad="1"/>
</workbook>
</file>

<file path=xl/sharedStrings.xml><?xml version="1.0" encoding="utf-8"?>
<sst xmlns="http://schemas.openxmlformats.org/spreadsheetml/2006/main" count="242" uniqueCount="166">
  <si>
    <t>EKIPNO</t>
  </si>
  <si>
    <t>EKIPA</t>
  </si>
  <si>
    <t>1.kolo</t>
  </si>
  <si>
    <t>2.kolo</t>
  </si>
  <si>
    <t>3.kolo</t>
  </si>
  <si>
    <t>4.kolo</t>
  </si>
  <si>
    <t>5.kolo</t>
  </si>
  <si>
    <t>6.kolo</t>
  </si>
  <si>
    <t>7.kolo</t>
  </si>
  <si>
    <t>Datum</t>
  </si>
  <si>
    <t>Organizator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</si>
  <si>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</si>
  <si>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</si>
  <si>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</si>
  <si>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</si>
  <si>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</si>
  <si>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</si>
  <si>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</si>
  <si>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</si>
  <si>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</si>
  <si>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</si>
  <si>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POSAMEZNO</t>
  </si>
  <si>
    <t>Priimek in ime</t>
  </si>
  <si>
    <t>Društvo</t>
  </si>
  <si>
    <t>Rezultat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</si>
  <si>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</si>
  <si>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</si>
  <si>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</si>
  <si>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</si>
  <si>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</si>
  <si>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</si>
  <si>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</si>
  <si>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</si>
  <si>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</si>
  <si>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</si>
  <si>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</si>
  <si>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</si>
  <si>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</si>
  <si>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</si>
  <si>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</si>
  <si>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</si>
  <si>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</si>
  <si>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</si>
  <si>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</si>
  <si>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Seštevek</t>
  </si>
  <si>
    <t>30.</t>
  </si>
  <si>
    <t>31.</t>
  </si>
  <si>
    <t>32.</t>
  </si>
  <si>
    <t>33.</t>
  </si>
  <si>
    <t>MIN*</t>
  </si>
  <si>
    <t>Selce</t>
  </si>
  <si>
    <t>Benjamin Plotajs</t>
  </si>
  <si>
    <t>Luka Žurman</t>
  </si>
  <si>
    <t>Aleš Štebih</t>
  </si>
  <si>
    <t>Trnovska A</t>
  </si>
  <si>
    <t>Mitja Kovačič</t>
  </si>
  <si>
    <t xml:space="preserve">Trnovska </t>
  </si>
  <si>
    <t>Velka A</t>
  </si>
  <si>
    <t>Velka B</t>
  </si>
  <si>
    <t>Cerkvenjak</t>
  </si>
  <si>
    <t>Marjan Horvat</t>
  </si>
  <si>
    <t>Vitomarci</t>
  </si>
  <si>
    <t>Petra Zorman</t>
  </si>
  <si>
    <t>Branko Korošak</t>
  </si>
  <si>
    <t>Anton Kocbek</t>
  </si>
  <si>
    <t>Nejc Kejžar</t>
  </si>
  <si>
    <t>Marjan Perko</t>
  </si>
  <si>
    <t>Mirko Tenšek</t>
  </si>
  <si>
    <t>Slavko Zorman</t>
  </si>
  <si>
    <t>Marinka Širovnik</t>
  </si>
  <si>
    <t>Osek</t>
  </si>
  <si>
    <t>Damjan Prajndl</t>
  </si>
  <si>
    <t>Roman Maguša</t>
  </si>
  <si>
    <t>Silvo Kocuvan</t>
  </si>
  <si>
    <t>Ferdo Majer</t>
  </si>
  <si>
    <t>Dejan Cvetko</t>
  </si>
  <si>
    <t>Leon Kos</t>
  </si>
  <si>
    <t>Jani Čeh</t>
  </si>
  <si>
    <t>Franci Hameršak</t>
  </si>
  <si>
    <t>Branko Peklar</t>
  </si>
  <si>
    <t>Skupaj po zadetih krogih</t>
  </si>
  <si>
    <t>Skupaj po točkah</t>
  </si>
  <si>
    <t>Velka</t>
  </si>
  <si>
    <t>Boštjan Rola</t>
  </si>
  <si>
    <t>Miran Kuzminski</t>
  </si>
  <si>
    <t>Elvir Kramberger</t>
  </si>
  <si>
    <t>Povprečje</t>
  </si>
  <si>
    <t xml:space="preserve">Osek </t>
  </si>
  <si>
    <t xml:space="preserve">Trnovska B </t>
  </si>
  <si>
    <t>34.</t>
  </si>
  <si>
    <t>Sara Srne</t>
  </si>
  <si>
    <t>35.</t>
  </si>
  <si>
    <t>36.</t>
  </si>
  <si>
    <t>37.</t>
  </si>
  <si>
    <t>Jan Soto Vargas</t>
  </si>
  <si>
    <t>38.</t>
  </si>
  <si>
    <t>Medobčinska liga 2014/2015</t>
  </si>
  <si>
    <t>MEDOBČINSKA LIGA Z ZRAČNO PUŠKO 2014/2015 - Serijska zračna puška</t>
  </si>
  <si>
    <t>8.kolo</t>
  </si>
  <si>
    <t>9.kolo</t>
  </si>
  <si>
    <t>10. kolo</t>
  </si>
  <si>
    <t>11. kolo</t>
  </si>
  <si>
    <t>Trnovska C</t>
  </si>
  <si>
    <t>Vitomarci B</t>
  </si>
  <si>
    <t>Benediški vrh A</t>
  </si>
  <si>
    <t>Trnovska vas</t>
  </si>
  <si>
    <t>Benediški vrh</t>
  </si>
  <si>
    <t>Benediški vrh B</t>
  </si>
  <si>
    <t>10.kolo</t>
  </si>
  <si>
    <t>11.kolo</t>
  </si>
  <si>
    <t>39.</t>
  </si>
  <si>
    <t>40.</t>
  </si>
  <si>
    <t>41.</t>
  </si>
  <si>
    <t>42.</t>
  </si>
  <si>
    <t>43.</t>
  </si>
  <si>
    <t>44.</t>
  </si>
  <si>
    <t>Boštjan Čeh</t>
  </si>
  <si>
    <t>Leon Rola</t>
  </si>
  <si>
    <t>Branko Šraj</t>
  </si>
  <si>
    <t>Maja Mihelak</t>
  </si>
  <si>
    <t>Benjamin Golob</t>
  </si>
  <si>
    <t>Aleksandra Lebreht</t>
  </si>
  <si>
    <t>Franc Lakner</t>
  </si>
  <si>
    <t>Franc Lebreht</t>
  </si>
  <si>
    <t>Simon Mlasko</t>
  </si>
  <si>
    <t>Mitja Knap</t>
  </si>
  <si>
    <t>Marjan Kocuvan</t>
  </si>
  <si>
    <t>Franc Špenga</t>
  </si>
  <si>
    <t>Izidor Gungl</t>
  </si>
  <si>
    <t>Mirko Kurnik</t>
  </si>
  <si>
    <t>Albert Mlasko</t>
  </si>
  <si>
    <t>Franc Kurnik</t>
  </si>
  <si>
    <t>Boris Jauk</t>
  </si>
  <si>
    <t>Vitomarci A</t>
  </si>
  <si>
    <t>Benediški vrh (Trnovska vas)</t>
  </si>
  <si>
    <t>Trnovska B</t>
  </si>
  <si>
    <t>45.</t>
  </si>
  <si>
    <t>46.</t>
  </si>
  <si>
    <t>47.</t>
  </si>
  <si>
    <t>Danilo Huber</t>
  </si>
  <si>
    <t>Leon Mlinarič</t>
  </si>
  <si>
    <t>Stanko Polič</t>
  </si>
  <si>
    <t>48.</t>
  </si>
  <si>
    <t>Rok Štebih</t>
  </si>
  <si>
    <t>49.</t>
  </si>
  <si>
    <t>Mira Lovrenčič</t>
  </si>
  <si>
    <t>50.</t>
  </si>
  <si>
    <t>Stanko Vršič</t>
  </si>
  <si>
    <t>Stolpec1</t>
  </si>
  <si>
    <t>Stolpec2</t>
  </si>
  <si>
    <t>Stolpec3</t>
  </si>
  <si>
    <t>Stolpec4</t>
  </si>
  <si>
    <t>Stolpec5</t>
  </si>
  <si>
    <t>Stolpec6</t>
  </si>
  <si>
    <t>Stolpec7</t>
  </si>
  <si>
    <t>Stolpec8</t>
  </si>
  <si>
    <t>Stolpec9</t>
  </si>
  <si>
    <t>Stolpec10</t>
  </si>
  <si>
    <t>Stolpec11</t>
  </si>
  <si>
    <t>Stolpec12</t>
  </si>
  <si>
    <t>Stolpec13</t>
  </si>
  <si>
    <t>Stolpec14</t>
  </si>
  <si>
    <t>Stolpec15</t>
  </si>
  <si>
    <t>Stolpec16</t>
  </si>
  <si>
    <t>Stolpec17</t>
  </si>
  <si>
    <t>Stolpec18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</si>
</sst>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;@"/>
    <numFmt numFmtId="173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8"/>
      <name val="Arial"/>
      <family val="2"/>
    </font>
    <font>
      <b/>
      <sz val="6"/>
      <name val="Arial CE"/>
      <family val="0"/>
    </font>
    <font>
      <sz val="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30"/>
      <name val="Times New Roman"/>
      <family val="1"/>
    </font>
    <font>
      <sz val="9"/>
      <name val="Times New Roman"/>
      <family val="1"/>
    </font>
    <font>
      <sz val="7"/>
      <color indexed="10"/>
      <name val="Times New Roman"/>
      <family val="1"/>
    </font>
    <font>
      <b/>
      <sz val="7"/>
      <color indexed="30"/>
      <name val="Times New Roman"/>
      <family val="1"/>
    </font>
    <font>
      <b/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40" fillId="0" borderId="6" applyNumberFormat="0" applyFill="0" applyAlignment="0" applyProtection="0"/>
    <xf numFmtId="0" fontId="41" fillId="23" borderId="7" applyNumberFormat="0" applyAlignment="0" applyProtection="0"/>
    <xf numFmtId="0" fontId="42" fillId="16" borderId="8" applyNumberFormat="0" applyAlignment="0" applyProtection="0"/>
    <xf numFmtId="0" fontId="4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8" applyNumberFormat="0" applyAlignment="0" applyProtection="0"/>
    <xf numFmtId="0" fontId="45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2" fontId="6" fillId="17" borderId="11" xfId="0" applyNumberFormat="1" applyFont="1" applyFill="1" applyBorder="1" applyAlignment="1">
      <alignment horizontal="center" vertical="center" wrapText="1"/>
    </xf>
    <xf numFmtId="172" fontId="6" fillId="17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4" fillId="17" borderId="32" xfId="0" applyFont="1" applyFill="1" applyBorder="1" applyAlignment="1">
      <alignment horizontal="center" vertical="center" wrapText="1"/>
    </xf>
    <xf numFmtId="0" fontId="24" fillId="17" borderId="24" xfId="0" applyFont="1" applyFill="1" applyBorder="1" applyAlignment="1">
      <alignment horizontal="left" vertical="center" wrapText="1"/>
    </xf>
    <xf numFmtId="0" fontId="24" fillId="17" borderId="24" xfId="0" applyFont="1" applyFill="1" applyBorder="1" applyAlignment="1">
      <alignment horizontal="center" vertical="center" wrapText="1"/>
    </xf>
    <xf numFmtId="0" fontId="24" fillId="17" borderId="24" xfId="0" applyFont="1" applyFill="1" applyBorder="1" applyAlignment="1">
      <alignment horizontal="center" vertical="center" wrapText="1"/>
    </xf>
    <xf numFmtId="0" fontId="22" fillId="17" borderId="24" xfId="0" applyFont="1" applyFill="1" applyBorder="1" applyAlignment="1">
      <alignment horizontal="center" vertical="center" wrapText="1"/>
    </xf>
    <xf numFmtId="4" fontId="24" fillId="17" borderId="24" xfId="0" applyNumberFormat="1" applyFont="1" applyFill="1" applyBorder="1" applyAlignment="1">
      <alignment horizontal="center" vertical="center" wrapText="1"/>
    </xf>
    <xf numFmtId="0" fontId="23" fillId="17" borderId="33" xfId="0" applyFont="1" applyFill="1" applyBorder="1" applyAlignment="1">
      <alignment horizontal="center" vertical="center"/>
    </xf>
    <xf numFmtId="0" fontId="24" fillId="17" borderId="18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left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22" fillId="17" borderId="12" xfId="0" applyFont="1" applyFill="1" applyBorder="1" applyAlignment="1">
      <alignment horizontal="center" vertical="center" wrapText="1"/>
    </xf>
    <xf numFmtId="4" fontId="24" fillId="17" borderId="12" xfId="0" applyNumberFormat="1" applyFont="1" applyFill="1" applyBorder="1" applyAlignment="1">
      <alignment horizontal="center" vertical="center" wrapText="1"/>
    </xf>
    <xf numFmtId="0" fontId="23" fillId="17" borderId="19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left" vertical="center"/>
    </xf>
    <xf numFmtId="0" fontId="24" fillId="17" borderId="12" xfId="0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horizontal="left" vertical="center" wrapText="1"/>
    </xf>
    <xf numFmtId="0" fontId="21" fillId="0" borderId="35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24" fillId="24" borderId="24" xfId="0" applyNumberFormat="1" applyFont="1" applyFill="1" applyBorder="1" applyAlignment="1">
      <alignment horizontal="center" vertical="center"/>
    </xf>
    <xf numFmtId="2" fontId="24" fillId="24" borderId="26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4" fillId="17" borderId="39" xfId="0" applyFont="1" applyFill="1" applyBorder="1" applyAlignment="1">
      <alignment horizontal="center" vertical="center" wrapText="1"/>
    </xf>
    <xf numFmtId="0" fontId="4" fillId="17" borderId="4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36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36" xfId="0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2" fontId="24" fillId="0" borderId="30" xfId="0" applyNumberFormat="1" applyFont="1" applyFill="1" applyBorder="1" applyAlignment="1">
      <alignment horizontal="center" vertical="center"/>
    </xf>
    <xf numFmtId="2" fontId="24" fillId="0" borderId="28" xfId="0" applyNumberFormat="1" applyFont="1" applyFill="1" applyBorder="1" applyAlignment="1">
      <alignment horizontal="center" vertical="center"/>
    </xf>
    <xf numFmtId="2" fontId="24" fillId="24" borderId="24" xfId="0" applyNumberFormat="1" applyFont="1" applyFill="1" applyBorder="1" applyAlignment="1">
      <alignment horizontal="center" vertical="center"/>
    </xf>
    <xf numFmtId="2" fontId="24" fillId="24" borderId="26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17" borderId="39" xfId="0" applyFont="1" applyFill="1" applyBorder="1" applyAlignment="1">
      <alignment horizontal="center" wrapText="1"/>
    </xf>
    <xf numFmtId="0" fontId="3" fillId="17" borderId="45" xfId="0" applyFont="1" applyFill="1" applyBorder="1" applyAlignment="1">
      <alignment horizontal="center" wrapText="1"/>
    </xf>
    <xf numFmtId="0" fontId="3" fillId="17" borderId="46" xfId="0" applyFont="1" applyFill="1" applyBorder="1" applyAlignment="1">
      <alignment horizont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2" fontId="24" fillId="0" borderId="24" xfId="0" applyNumberFormat="1" applyFont="1" applyFill="1" applyBorder="1" applyAlignment="1">
      <alignment horizontal="center" vertical="center"/>
    </xf>
    <xf numFmtId="2" fontId="24" fillId="0" borderId="26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2" fontId="24" fillId="0" borderId="24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2" fontId="24" fillId="0" borderId="30" xfId="0" applyNumberFormat="1" applyFont="1" applyFill="1" applyBorder="1" applyAlignment="1">
      <alignment horizontal="center" vertical="center"/>
    </xf>
    <xf numFmtId="2" fontId="24" fillId="0" borderId="2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" fontId="24" fillId="0" borderId="26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17" borderId="12" xfId="0" applyFont="1" applyFill="1" applyBorder="1" applyAlignment="1">
      <alignment horizontal="left"/>
    </xf>
    <xf numFmtId="0" fontId="15" fillId="24" borderId="37" xfId="0" applyFont="1" applyFill="1" applyBorder="1" applyAlignment="1">
      <alignment horizontal="center" vertical="center" wrapText="1"/>
    </xf>
    <xf numFmtId="0" fontId="16" fillId="24" borderId="30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2" fontId="24" fillId="24" borderId="30" xfId="0" applyNumberFormat="1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2" fontId="24" fillId="24" borderId="28" xfId="0" applyNumberFormat="1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3" displayName="Tabela3" ref="C37:T87" comment="" totalsRowShown="0">
  <autoFilter ref="C37:T87"/>
  <tableColumns count="18">
    <tableColumn id="1" name="Stolpec1"/>
    <tableColumn id="2" name="Stolpec2"/>
    <tableColumn id="3" name="Stolpec3"/>
    <tableColumn id="4" name="Stolpec4"/>
    <tableColumn id="5" name="Stolpec5"/>
    <tableColumn id="6" name="Stolpec6"/>
    <tableColumn id="7" name="Stolpec7"/>
    <tableColumn id="8" name="Stolpec8"/>
    <tableColumn id="9" name="Stolpec9"/>
    <tableColumn id="10" name="Stolpec10"/>
    <tableColumn id="11" name="Stolpec11"/>
    <tableColumn id="12" name="Stolpec12"/>
    <tableColumn id="13" name="Stolpec13"/>
    <tableColumn id="14" name="Stolpec14"/>
    <tableColumn id="15" name="Stolpec15"/>
    <tableColumn id="16" name="Stolpec16"/>
    <tableColumn id="17" name="Stolpec17"/>
    <tableColumn id="18" name="Stolpec1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0"/>
  <sheetViews>
    <sheetView tabSelected="1" view="pageLayout" zoomScale="120" zoomScaleNormal="120" zoomScalePageLayoutView="120" workbookViewId="0" topLeftCell="A19">
      <selection activeCell="T16" sqref="T16"/>
    </sheetView>
  </sheetViews>
  <sheetFormatPr defaultColWidth="9.140625" defaultRowHeight="12.75"/>
  <cols>
    <col min="1" max="2" width="0.71875" style="1" customWidth="1"/>
    <col min="3" max="3" width="4.7109375" style="2" customWidth="1"/>
    <col min="4" max="4" width="14.140625" style="12" customWidth="1"/>
    <col min="5" max="5" width="11.421875" style="11" customWidth="1"/>
    <col min="6" max="8" width="6.7109375" style="2" customWidth="1"/>
    <col min="9" max="9" width="8.57421875" style="2" customWidth="1"/>
    <col min="10" max="10" width="6.7109375" style="2" customWidth="1"/>
    <col min="11" max="11" width="7.8515625" style="2" customWidth="1"/>
    <col min="12" max="12" width="8.140625" style="2" customWidth="1"/>
    <col min="13" max="13" width="6.7109375" style="15" customWidth="1"/>
    <col min="14" max="16" width="6.7109375" style="2" customWidth="1"/>
    <col min="17" max="20" width="6.7109375" style="19" customWidth="1"/>
    <col min="21" max="21" width="4.7109375" style="23" customWidth="1"/>
    <col min="22" max="22" width="2.00390625" style="24" customWidth="1"/>
    <col min="23" max="23" width="13.8515625" style="25" customWidth="1"/>
    <col min="24" max="24" width="4.8515625" style="9" customWidth="1"/>
    <col min="25" max="25" width="4.8515625" style="23" customWidth="1"/>
    <col min="26" max="26" width="2.57421875" style="23" customWidth="1"/>
    <col min="27" max="28" width="4.8515625" style="23" customWidth="1"/>
    <col min="29" max="29" width="13.8515625" style="26" customWidth="1"/>
    <col min="30" max="30" width="5.00390625" style="26" customWidth="1"/>
    <col min="31" max="31" width="2.7109375" style="26" customWidth="1"/>
    <col min="32" max="32" width="10.57421875" style="26" bestFit="1" customWidth="1"/>
    <col min="33" max="33" width="4.421875" style="26" bestFit="1" customWidth="1"/>
    <col min="34" max="34" width="5.7109375" style="26" bestFit="1" customWidth="1"/>
    <col min="35" max="35" width="10.140625" style="26" customWidth="1"/>
    <col min="36" max="36" width="9.140625" style="23" customWidth="1"/>
    <col min="37" max="37" width="10.8515625" style="26" bestFit="1" customWidth="1"/>
    <col min="38" max="38" width="4.28125" style="26" customWidth="1"/>
    <col min="39" max="39" width="4.140625" style="26" customWidth="1"/>
    <col min="40" max="40" width="1.28515625" style="26" bestFit="1" customWidth="1"/>
    <col min="41" max="41" width="4.140625" style="26" customWidth="1"/>
    <col min="42" max="42" width="5.8515625" style="26" customWidth="1"/>
    <col min="43" max="43" width="11.7109375" style="26" customWidth="1"/>
    <col min="44" max="44" width="9.140625" style="3" customWidth="1"/>
    <col min="45" max="16384" width="9.140625" style="1" customWidth="1"/>
  </cols>
  <sheetData>
    <row r="1" spans="23:29" ht="11.25">
      <c r="W1" s="34"/>
      <c r="X1" s="35"/>
      <c r="Y1" s="36"/>
      <c r="Z1" s="36"/>
      <c r="AA1" s="36"/>
      <c r="AB1" s="36"/>
      <c r="AC1" s="37"/>
    </row>
    <row r="2" spans="3:29" ht="15.75">
      <c r="C2" s="190" t="s">
        <v>96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W2" s="47"/>
      <c r="X2" s="47"/>
      <c r="Y2" s="47"/>
      <c r="Z2" s="47"/>
      <c r="AA2" s="47"/>
      <c r="AB2" s="47"/>
      <c r="AC2" s="47"/>
    </row>
    <row r="3" spans="23:29" ht="12" thickBot="1">
      <c r="W3" s="34"/>
      <c r="X3" s="35"/>
      <c r="Y3" s="36"/>
      <c r="Z3" s="36"/>
      <c r="AA3" s="36"/>
      <c r="AB3" s="36"/>
      <c r="AC3" s="37"/>
    </row>
    <row r="4" spans="3:31" ht="14.25" customHeight="1" thickBot="1">
      <c r="C4" s="195" t="s">
        <v>97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3"/>
      <c r="T4" s="13"/>
      <c r="U4" s="49"/>
      <c r="W4" s="47"/>
      <c r="X4" s="47"/>
      <c r="Y4" s="47"/>
      <c r="Z4" s="47"/>
      <c r="AA4" s="47"/>
      <c r="AB4" s="47"/>
      <c r="AC4" s="47"/>
      <c r="AE4" s="32"/>
    </row>
    <row r="5" spans="3:31" ht="12.75" customHeight="1" thickBot="1"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  <c r="S5" s="13"/>
      <c r="T5" s="13"/>
      <c r="U5" s="49"/>
      <c r="W5" s="38"/>
      <c r="X5" s="38"/>
      <c r="Y5" s="38"/>
      <c r="Z5" s="38"/>
      <c r="AA5" s="38"/>
      <c r="AB5" s="38"/>
      <c r="AC5" s="38"/>
      <c r="AE5" s="32"/>
    </row>
    <row r="6" spans="1:48" ht="13.5" thickBot="1">
      <c r="A6" s="3"/>
      <c r="B6" s="3"/>
      <c r="C6" s="10"/>
      <c r="D6" s="78" t="s">
        <v>1</v>
      </c>
      <c r="E6" s="79" t="s">
        <v>2</v>
      </c>
      <c r="F6" s="80" t="s">
        <v>3</v>
      </c>
      <c r="G6" s="80" t="s">
        <v>4</v>
      </c>
      <c r="H6" s="80" t="s">
        <v>5</v>
      </c>
      <c r="I6" s="80" t="s">
        <v>6</v>
      </c>
      <c r="J6" s="80" t="s">
        <v>7</v>
      </c>
      <c r="K6" s="80" t="s">
        <v>8</v>
      </c>
      <c r="L6" s="80" t="s">
        <v>98</v>
      </c>
      <c r="M6" s="80" t="s">
        <v>99</v>
      </c>
      <c r="N6" s="80" t="s">
        <v>100</v>
      </c>
      <c r="O6" s="80" t="s">
        <v>101</v>
      </c>
      <c r="P6" s="183" t="s">
        <v>80</v>
      </c>
      <c r="Q6" s="213" t="s">
        <v>86</v>
      </c>
      <c r="R6" s="210" t="s">
        <v>81</v>
      </c>
      <c r="S6" s="3"/>
      <c r="T6" s="7"/>
      <c r="U6" s="13"/>
      <c r="V6" s="13"/>
      <c r="W6" s="13"/>
      <c r="X6" s="13"/>
      <c r="Y6" s="49"/>
      <c r="Z6" s="24"/>
      <c r="AA6" s="48"/>
      <c r="AB6" s="48"/>
      <c r="AC6" s="48"/>
      <c r="AD6" s="48"/>
      <c r="AE6" s="48"/>
      <c r="AF6" s="48"/>
      <c r="AG6" s="48"/>
      <c r="AI6" s="32"/>
      <c r="AJ6" s="26"/>
      <c r="AN6" s="23"/>
      <c r="AR6" s="26"/>
      <c r="AS6" s="26"/>
      <c r="AT6" s="26"/>
      <c r="AU6" s="26"/>
      <c r="AV6" s="3"/>
    </row>
    <row r="7" spans="1:48" ht="13.5" customHeight="1" thickBot="1">
      <c r="A7" s="3"/>
      <c r="B7" s="3"/>
      <c r="C7" s="154" t="s">
        <v>9</v>
      </c>
      <c r="D7" s="155"/>
      <c r="E7" s="16">
        <v>41958</v>
      </c>
      <c r="F7" s="16">
        <v>41972</v>
      </c>
      <c r="G7" s="16">
        <v>41979</v>
      </c>
      <c r="H7" s="16">
        <v>41986</v>
      </c>
      <c r="I7" s="16">
        <v>41649</v>
      </c>
      <c r="J7" s="16">
        <v>42028</v>
      </c>
      <c r="K7" s="16">
        <v>42042</v>
      </c>
      <c r="L7" s="16">
        <v>42056</v>
      </c>
      <c r="M7" s="16">
        <v>42070</v>
      </c>
      <c r="N7" s="16">
        <v>42077</v>
      </c>
      <c r="O7" s="17">
        <v>42112</v>
      </c>
      <c r="P7" s="183"/>
      <c r="Q7" s="213"/>
      <c r="R7" s="210"/>
      <c r="S7" s="3"/>
      <c r="T7" s="3"/>
      <c r="U7" s="54"/>
      <c r="V7" s="55"/>
      <c r="W7" s="55"/>
      <c r="X7" s="13"/>
      <c r="Y7" s="49"/>
      <c r="Z7" s="24"/>
      <c r="AA7" s="25"/>
      <c r="AB7" s="9"/>
      <c r="AC7" s="23"/>
      <c r="AD7" s="23"/>
      <c r="AE7" s="23"/>
      <c r="AF7" s="23"/>
      <c r="AI7" s="32"/>
      <c r="AJ7" s="3"/>
      <c r="AK7" s="3"/>
      <c r="AL7" s="3"/>
      <c r="AM7" s="3"/>
      <c r="AN7" s="23"/>
      <c r="AR7" s="26"/>
      <c r="AS7" s="26"/>
      <c r="AT7" s="26"/>
      <c r="AU7" s="26"/>
      <c r="AV7" s="3"/>
    </row>
    <row r="8" spans="1:48" ht="33.75" customHeight="1" thickBot="1">
      <c r="A8" s="3"/>
      <c r="B8" s="3"/>
      <c r="C8" s="96"/>
      <c r="D8" s="97" t="s">
        <v>10</v>
      </c>
      <c r="E8" s="98" t="s">
        <v>105</v>
      </c>
      <c r="F8" s="99" t="s">
        <v>82</v>
      </c>
      <c r="G8" s="99" t="s">
        <v>50</v>
      </c>
      <c r="H8" s="99" t="s">
        <v>61</v>
      </c>
      <c r="I8" s="104" t="s">
        <v>134</v>
      </c>
      <c r="J8" s="99" t="s">
        <v>70</v>
      </c>
      <c r="K8" s="99" t="s">
        <v>59</v>
      </c>
      <c r="L8" s="104" t="s">
        <v>134</v>
      </c>
      <c r="M8" s="99" t="s">
        <v>82</v>
      </c>
      <c r="N8" s="99" t="s">
        <v>61</v>
      </c>
      <c r="O8" s="98" t="s">
        <v>105</v>
      </c>
      <c r="P8" s="184"/>
      <c r="Q8" s="214"/>
      <c r="R8" s="211"/>
      <c r="S8" s="3"/>
      <c r="T8" s="3"/>
      <c r="U8" s="54"/>
      <c r="V8" s="55"/>
      <c r="AM8" s="3"/>
      <c r="AN8" s="23"/>
      <c r="AR8" s="26"/>
      <c r="AS8" s="26"/>
      <c r="AT8" s="26"/>
      <c r="AU8" s="26"/>
      <c r="AV8" s="3"/>
    </row>
    <row r="9" spans="3:48" ht="12">
      <c r="C9" s="156" t="s">
        <v>11</v>
      </c>
      <c r="D9" s="148" t="s">
        <v>57</v>
      </c>
      <c r="E9" s="100">
        <v>3</v>
      </c>
      <c r="F9" s="100">
        <v>3</v>
      </c>
      <c r="G9" s="100">
        <v>3</v>
      </c>
      <c r="H9" s="100">
        <v>3</v>
      </c>
      <c r="I9" s="100">
        <v>3</v>
      </c>
      <c r="J9" s="100">
        <v>3</v>
      </c>
      <c r="K9" s="100">
        <v>3</v>
      </c>
      <c r="L9" s="100">
        <v>3</v>
      </c>
      <c r="M9" s="100">
        <v>3</v>
      </c>
      <c r="N9" s="100">
        <v>3</v>
      </c>
      <c r="O9" s="101"/>
      <c r="P9" s="172">
        <f>E10+F10+G10+H10+I10+J10+K10+L10+M10+N10+O10</f>
        <v>5347</v>
      </c>
      <c r="Q9" s="212">
        <f>AVERAGE(E10:Q10)</f>
        <v>534.7</v>
      </c>
      <c r="R9" s="162">
        <f>E9+F9+G9+H9+I9+J9+O9+K9+L9+M9+N9+O9</f>
        <v>30</v>
      </c>
      <c r="S9" s="2"/>
      <c r="T9" s="3"/>
      <c r="U9" s="54"/>
      <c r="V9" s="55"/>
      <c r="AM9" s="3"/>
      <c r="AN9" s="23"/>
      <c r="AR9" s="26"/>
      <c r="AS9" s="26"/>
      <c r="AT9" s="26"/>
      <c r="AU9" s="26"/>
      <c r="AV9" s="3"/>
    </row>
    <row r="10" spans="3:48" ht="11.25" customHeight="1" thickBot="1">
      <c r="C10" s="157"/>
      <c r="D10" s="159"/>
      <c r="E10" s="105">
        <f>180+177+181</f>
        <v>538</v>
      </c>
      <c r="F10" s="105">
        <v>531</v>
      </c>
      <c r="G10" s="105">
        <f>182+172+171</f>
        <v>525</v>
      </c>
      <c r="H10" s="105">
        <v>539</v>
      </c>
      <c r="I10" s="105">
        <f>175+164+185</f>
        <v>524</v>
      </c>
      <c r="J10" s="105">
        <v>545</v>
      </c>
      <c r="K10" s="105">
        <f>182+175+180</f>
        <v>537</v>
      </c>
      <c r="L10" s="105">
        <f>183+168+189</f>
        <v>540</v>
      </c>
      <c r="M10" s="105">
        <v>523</v>
      </c>
      <c r="N10" s="105">
        <f>176+181+188</f>
        <v>545</v>
      </c>
      <c r="O10" s="106"/>
      <c r="P10" s="175"/>
      <c r="Q10" s="186"/>
      <c r="R10" s="163"/>
      <c r="S10" s="2"/>
      <c r="T10" s="2"/>
      <c r="U10" s="4"/>
      <c r="V10" s="9"/>
      <c r="AN10" s="23"/>
      <c r="AR10" s="26"/>
      <c r="AS10" s="26"/>
      <c r="AT10" s="26"/>
      <c r="AU10" s="26"/>
      <c r="AV10" s="3"/>
    </row>
    <row r="11" spans="3:48" ht="11.25" customHeight="1">
      <c r="C11" s="164" t="s">
        <v>12</v>
      </c>
      <c r="D11" s="160" t="s">
        <v>87</v>
      </c>
      <c r="E11" s="107">
        <v>3</v>
      </c>
      <c r="F11" s="107">
        <v>3</v>
      </c>
      <c r="G11" s="107">
        <v>3</v>
      </c>
      <c r="H11" s="107">
        <v>3</v>
      </c>
      <c r="I11" s="107">
        <v>3</v>
      </c>
      <c r="J11" s="107">
        <v>3</v>
      </c>
      <c r="K11" s="107">
        <v>1</v>
      </c>
      <c r="L11" s="107">
        <v>3</v>
      </c>
      <c r="M11" s="107">
        <v>3</v>
      </c>
      <c r="N11" s="107">
        <v>3</v>
      </c>
      <c r="O11" s="108"/>
      <c r="P11" s="176">
        <f>E12+F12+G12+H12+I12+J12+K12+L12+M12+N12+O12</f>
        <v>5320</v>
      </c>
      <c r="Q11" s="150">
        <f>AVERAGE(E12:Q12)</f>
        <v>532</v>
      </c>
      <c r="R11" s="203">
        <f>E11+F11+G11+H11+I11+J11+O11+K11+L11+M11+N11+O11</f>
        <v>28</v>
      </c>
      <c r="S11" s="2"/>
      <c r="T11" s="2"/>
      <c r="U11" s="4"/>
      <c r="V11" s="9"/>
      <c r="AN11" s="23"/>
      <c r="AR11" s="26"/>
      <c r="AS11" s="26"/>
      <c r="AT11" s="26"/>
      <c r="AU11" s="26"/>
      <c r="AV11" s="3"/>
    </row>
    <row r="12" spans="3:48" ht="11.25" customHeight="1" thickBot="1">
      <c r="C12" s="165"/>
      <c r="D12" s="161"/>
      <c r="E12" s="102">
        <f>177+183+181</f>
        <v>541</v>
      </c>
      <c r="F12" s="102">
        <v>525</v>
      </c>
      <c r="G12" s="102">
        <f>174+177+173</f>
        <v>524</v>
      </c>
      <c r="H12" s="102">
        <v>545</v>
      </c>
      <c r="I12" s="102">
        <f>177+187+171</f>
        <v>535</v>
      </c>
      <c r="J12" s="102">
        <v>527</v>
      </c>
      <c r="K12" s="102">
        <f>180+177+170</f>
        <v>527</v>
      </c>
      <c r="L12" s="102">
        <f>177+176+169</f>
        <v>522</v>
      </c>
      <c r="M12" s="102">
        <f>183+178+175</f>
        <v>536</v>
      </c>
      <c r="N12" s="102">
        <f>175+183+180</f>
        <v>538</v>
      </c>
      <c r="O12" s="103"/>
      <c r="P12" s="146"/>
      <c r="Q12" s="151"/>
      <c r="R12" s="204"/>
      <c r="S12" s="2"/>
      <c r="T12" s="2"/>
      <c r="U12" s="4"/>
      <c r="V12" s="9"/>
      <c r="AN12" s="23"/>
      <c r="AR12" s="26"/>
      <c r="AS12" s="26"/>
      <c r="AT12" s="26"/>
      <c r="AU12" s="26"/>
      <c r="AV12" s="3"/>
    </row>
    <row r="13" spans="3:48" ht="11.25" customHeight="1">
      <c r="C13" s="171" t="s">
        <v>13</v>
      </c>
      <c r="D13" s="158" t="s">
        <v>54</v>
      </c>
      <c r="E13" s="109">
        <v>3</v>
      </c>
      <c r="F13" s="109">
        <v>1</v>
      </c>
      <c r="G13" s="109">
        <v>3</v>
      </c>
      <c r="H13" s="109">
        <v>3</v>
      </c>
      <c r="I13" s="109">
        <v>3</v>
      </c>
      <c r="J13" s="109">
        <v>3</v>
      </c>
      <c r="K13" s="109">
        <v>3</v>
      </c>
      <c r="L13" s="109">
        <v>3</v>
      </c>
      <c r="M13" s="109">
        <v>3</v>
      </c>
      <c r="N13" s="109">
        <v>1</v>
      </c>
      <c r="O13" s="110"/>
      <c r="P13" s="174">
        <f>E14+F14+G14+H14+I14+J14+K14+L14+M14+N14+O14</f>
        <v>5291</v>
      </c>
      <c r="Q13" s="185">
        <f>AVERAGE(E14:Q14)</f>
        <v>529.1</v>
      </c>
      <c r="R13" s="207">
        <f>E13+F13+G13+H13+I13+J13+O13+K13+L13+M13+N13+O13</f>
        <v>26</v>
      </c>
      <c r="S13" s="2"/>
      <c r="AJ13" s="26"/>
      <c r="AN13" s="27"/>
      <c r="AO13" s="21"/>
      <c r="AP13" s="21"/>
      <c r="AQ13" s="21"/>
      <c r="AR13" s="21"/>
      <c r="AS13" s="21"/>
      <c r="AT13" s="21"/>
      <c r="AU13" s="21"/>
      <c r="AV13" s="3"/>
    </row>
    <row r="14" spans="3:48" ht="11.25" customHeight="1" thickBot="1">
      <c r="C14" s="157"/>
      <c r="D14" s="159"/>
      <c r="E14" s="105">
        <f>173+186+180</f>
        <v>539</v>
      </c>
      <c r="F14" s="105">
        <v>512</v>
      </c>
      <c r="G14" s="105">
        <f>170+185+178</f>
        <v>533</v>
      </c>
      <c r="H14" s="105">
        <v>515</v>
      </c>
      <c r="I14" s="105">
        <f>181+181+175</f>
        <v>537</v>
      </c>
      <c r="J14" s="105">
        <v>529</v>
      </c>
      <c r="K14" s="105">
        <f>176+183+176</f>
        <v>535</v>
      </c>
      <c r="L14" s="105">
        <f>165+183+173</f>
        <v>521</v>
      </c>
      <c r="M14" s="105">
        <f>186+177+175</f>
        <v>538</v>
      </c>
      <c r="N14" s="105">
        <f>175+172+185</f>
        <v>532</v>
      </c>
      <c r="O14" s="106"/>
      <c r="P14" s="175"/>
      <c r="Q14" s="186"/>
      <c r="R14" s="163"/>
      <c r="S14" s="2"/>
      <c r="AJ14" s="26"/>
      <c r="AN14" s="27"/>
      <c r="AO14" s="22"/>
      <c r="AP14" s="22"/>
      <c r="AQ14" s="22"/>
      <c r="AR14" s="22"/>
      <c r="AS14" s="22"/>
      <c r="AT14" s="22"/>
      <c r="AU14" s="22"/>
      <c r="AV14" s="3"/>
    </row>
    <row r="15" spans="3:48" ht="11.25" customHeight="1">
      <c r="C15" s="164" t="s">
        <v>14</v>
      </c>
      <c r="D15" s="160" t="s">
        <v>133</v>
      </c>
      <c r="E15" s="107">
        <v>3</v>
      </c>
      <c r="F15" s="107">
        <v>3</v>
      </c>
      <c r="G15" s="107">
        <v>3</v>
      </c>
      <c r="H15" s="107">
        <v>1</v>
      </c>
      <c r="I15" s="107">
        <v>1</v>
      </c>
      <c r="J15" s="107">
        <v>3</v>
      </c>
      <c r="K15" s="107">
        <v>3</v>
      </c>
      <c r="L15" s="107">
        <v>3</v>
      </c>
      <c r="M15" s="107">
        <v>3</v>
      </c>
      <c r="N15" s="107">
        <v>1</v>
      </c>
      <c r="O15" s="108"/>
      <c r="P15" s="176">
        <f>E16+F16+G16+H16+I16+J16+K16+L16+M16+N16+O16</f>
        <v>5203</v>
      </c>
      <c r="Q15" s="150">
        <f>AVERAGE(E16:Q16)</f>
        <v>520.3</v>
      </c>
      <c r="R15" s="203">
        <f>E15+F15+G15+H15+I15+J15+O15+K15+L15+M15+N15+O15</f>
        <v>24</v>
      </c>
      <c r="S15" s="2"/>
      <c r="T15" s="2"/>
      <c r="U15" s="4"/>
      <c r="V15" s="5"/>
      <c r="AN15" s="27"/>
      <c r="AO15" s="22"/>
      <c r="AP15" s="22"/>
      <c r="AQ15" s="22"/>
      <c r="AR15" s="22"/>
      <c r="AS15" s="22"/>
      <c r="AT15" s="22"/>
      <c r="AU15" s="22"/>
      <c r="AV15" s="3"/>
    </row>
    <row r="16" spans="3:48" ht="11.25" customHeight="1" thickBot="1">
      <c r="C16" s="165"/>
      <c r="D16" s="161"/>
      <c r="E16" s="102">
        <f>172+176+177</f>
        <v>525</v>
      </c>
      <c r="F16" s="102">
        <v>521</v>
      </c>
      <c r="G16" s="102">
        <f>174+171+181</f>
        <v>526</v>
      </c>
      <c r="H16" s="102">
        <v>529</v>
      </c>
      <c r="I16" s="102">
        <f>170+172+164</f>
        <v>506</v>
      </c>
      <c r="J16" s="102">
        <v>517</v>
      </c>
      <c r="K16" s="102">
        <v>529</v>
      </c>
      <c r="L16" s="102">
        <v>506</v>
      </c>
      <c r="M16" s="102">
        <f>171+176+175</f>
        <v>522</v>
      </c>
      <c r="N16" s="102">
        <f>178+171+173</f>
        <v>522</v>
      </c>
      <c r="O16" s="103"/>
      <c r="P16" s="146"/>
      <c r="Q16" s="151"/>
      <c r="R16" s="204"/>
      <c r="S16" s="2"/>
      <c r="T16" s="2"/>
      <c r="U16" s="4"/>
      <c r="V16" s="5"/>
      <c r="AN16" s="27"/>
      <c r="AO16" s="22"/>
      <c r="AP16" s="22"/>
      <c r="AQ16" s="22"/>
      <c r="AR16" s="22"/>
      <c r="AS16" s="22"/>
      <c r="AT16" s="22"/>
      <c r="AU16" s="22"/>
      <c r="AV16" s="3"/>
    </row>
    <row r="17" spans="3:48" ht="11.25" customHeight="1">
      <c r="C17" s="152" t="s">
        <v>15</v>
      </c>
      <c r="D17" s="193" t="s">
        <v>59</v>
      </c>
      <c r="E17" s="117">
        <v>1</v>
      </c>
      <c r="F17" s="117">
        <v>3</v>
      </c>
      <c r="G17" s="117">
        <v>1</v>
      </c>
      <c r="H17" s="117">
        <v>1</v>
      </c>
      <c r="I17" s="117">
        <v>3</v>
      </c>
      <c r="J17" s="117">
        <v>3</v>
      </c>
      <c r="K17" s="117">
        <v>3</v>
      </c>
      <c r="L17" s="117">
        <v>3</v>
      </c>
      <c r="M17" s="117">
        <v>1</v>
      </c>
      <c r="N17" s="117">
        <v>3</v>
      </c>
      <c r="O17" s="118"/>
      <c r="P17" s="218">
        <f>E18+F18+G18+H18+I18+J18+K18+L18+M18+N18+O18</f>
        <v>4892</v>
      </c>
      <c r="Q17" s="220">
        <f>AVERAGE(E18:Q18)</f>
        <v>489.2</v>
      </c>
      <c r="R17" s="205">
        <f>E17+F17+G17+H17+I17+J17+O17+K17+L17+M17+N17+O17</f>
        <v>22</v>
      </c>
      <c r="S17" s="2"/>
      <c r="AN17" s="27"/>
      <c r="AO17" s="22"/>
      <c r="AP17" s="22"/>
      <c r="AQ17" s="22"/>
      <c r="AR17" s="22"/>
      <c r="AS17" s="22"/>
      <c r="AT17" s="22"/>
      <c r="AU17" s="22"/>
      <c r="AV17" s="3"/>
    </row>
    <row r="18" spans="3:48" ht="11.25" customHeight="1" thickBot="1">
      <c r="C18" s="153"/>
      <c r="D18" s="194"/>
      <c r="E18" s="111">
        <v>499</v>
      </c>
      <c r="F18" s="111">
        <v>499</v>
      </c>
      <c r="G18" s="111">
        <f>160+157+165</f>
        <v>482</v>
      </c>
      <c r="H18" s="111">
        <v>475</v>
      </c>
      <c r="I18" s="111">
        <f>158+168+172</f>
        <v>498</v>
      </c>
      <c r="J18" s="111">
        <v>486</v>
      </c>
      <c r="K18" s="111">
        <v>515</v>
      </c>
      <c r="L18" s="111">
        <f>167+148+159</f>
        <v>474</v>
      </c>
      <c r="M18" s="111">
        <f>158+165+166</f>
        <v>489</v>
      </c>
      <c r="N18" s="111">
        <f>152+157+166</f>
        <v>475</v>
      </c>
      <c r="O18" s="112"/>
      <c r="P18" s="219"/>
      <c r="Q18" s="221"/>
      <c r="R18" s="206"/>
      <c r="S18" s="2"/>
      <c r="AN18" s="27"/>
      <c r="AO18" s="22"/>
      <c r="AP18" s="22"/>
      <c r="AQ18" s="22"/>
      <c r="AR18" s="22"/>
      <c r="AS18" s="22"/>
      <c r="AT18" s="22"/>
      <c r="AU18" s="22"/>
      <c r="AV18" s="3"/>
    </row>
    <row r="19" spans="3:48" ht="11.25" customHeight="1">
      <c r="C19" s="177" t="s">
        <v>16</v>
      </c>
      <c r="D19" s="179" t="s">
        <v>104</v>
      </c>
      <c r="E19" s="113">
        <v>3</v>
      </c>
      <c r="F19" s="113">
        <v>1</v>
      </c>
      <c r="G19" s="113">
        <v>3</v>
      </c>
      <c r="H19" s="113">
        <v>3</v>
      </c>
      <c r="I19" s="113">
        <v>1</v>
      </c>
      <c r="J19" s="113">
        <v>1</v>
      </c>
      <c r="K19" s="113">
        <v>1</v>
      </c>
      <c r="L19" s="113">
        <v>1</v>
      </c>
      <c r="M19" s="113">
        <v>1</v>
      </c>
      <c r="N19" s="113">
        <v>3</v>
      </c>
      <c r="O19" s="114"/>
      <c r="P19" s="166">
        <f>E20+F20+G20+H20+I20+J20+K20+L20+M20+N20+O20</f>
        <v>4960</v>
      </c>
      <c r="Q19" s="187">
        <f>AVERAGE(E20:Q20)</f>
        <v>496</v>
      </c>
      <c r="R19" s="201">
        <f>E19+F19+G19+H19+I19+J19+O19+K19+L19+M19+N19+O19</f>
        <v>18</v>
      </c>
      <c r="S19" s="2"/>
      <c r="T19" s="2"/>
      <c r="U19" s="4"/>
      <c r="V19" s="5"/>
      <c r="W19" s="5"/>
      <c r="X19" s="5"/>
      <c r="Z19" s="24"/>
      <c r="AA19" s="25"/>
      <c r="AB19" s="9"/>
      <c r="AC19" s="23"/>
      <c r="AD19" s="23"/>
      <c r="AE19" s="23"/>
      <c r="AF19" s="23"/>
      <c r="AH19" s="49"/>
      <c r="AI19" s="32"/>
      <c r="AJ19" s="26"/>
      <c r="AN19" s="27"/>
      <c r="AO19" s="28"/>
      <c r="AP19" s="28"/>
      <c r="AQ19" s="28"/>
      <c r="AR19" s="28"/>
      <c r="AS19" s="28"/>
      <c r="AT19" s="28"/>
      <c r="AU19" s="28"/>
      <c r="AV19" s="3"/>
    </row>
    <row r="20" spans="3:48" ht="11.25" customHeight="1" thickBot="1">
      <c r="C20" s="178"/>
      <c r="D20" s="180"/>
      <c r="E20" s="115">
        <f>166+170+164</f>
        <v>500</v>
      </c>
      <c r="F20" s="115">
        <f>160+160+153</f>
        <v>473</v>
      </c>
      <c r="G20" s="115">
        <f>172+167+151</f>
        <v>490</v>
      </c>
      <c r="H20" s="115">
        <v>511</v>
      </c>
      <c r="I20" s="115">
        <f>167+172+165</f>
        <v>504</v>
      </c>
      <c r="J20" s="115">
        <v>479</v>
      </c>
      <c r="K20" s="115">
        <v>508</v>
      </c>
      <c r="L20" s="115">
        <f>158+157+169</f>
        <v>484</v>
      </c>
      <c r="M20" s="115">
        <v>504</v>
      </c>
      <c r="N20" s="115">
        <f>171+168+168</f>
        <v>507</v>
      </c>
      <c r="O20" s="116"/>
      <c r="P20" s="167"/>
      <c r="Q20" s="188"/>
      <c r="R20" s="202"/>
      <c r="S20" s="2"/>
      <c r="AJ20" s="26"/>
      <c r="AN20" s="147"/>
      <c r="AO20" s="147"/>
      <c r="AP20" s="147"/>
      <c r="AQ20" s="147"/>
      <c r="AR20" s="147"/>
      <c r="AS20" s="147"/>
      <c r="AT20" s="21"/>
      <c r="AU20" s="21"/>
      <c r="AV20" s="3"/>
    </row>
    <row r="21" spans="3:48" ht="11.25" customHeight="1">
      <c r="C21" s="156" t="s">
        <v>17</v>
      </c>
      <c r="D21" s="148" t="s">
        <v>107</v>
      </c>
      <c r="E21" s="100">
        <v>1</v>
      </c>
      <c r="F21" s="100">
        <v>1</v>
      </c>
      <c r="G21" s="100">
        <v>1</v>
      </c>
      <c r="H21" s="100">
        <v>3</v>
      </c>
      <c r="I21" s="100">
        <v>1</v>
      </c>
      <c r="J21" s="100">
        <v>1</v>
      </c>
      <c r="K21" s="100">
        <v>1</v>
      </c>
      <c r="L21" s="100">
        <v>3</v>
      </c>
      <c r="M21" s="100">
        <v>3</v>
      </c>
      <c r="N21" s="100">
        <v>3</v>
      </c>
      <c r="O21" s="101"/>
      <c r="P21" s="172">
        <f>E22+F22+G22+H22+I22+J22+K22+L22+M22+N22+O22</f>
        <v>4886</v>
      </c>
      <c r="Q21" s="212">
        <f>AVERAGE(E22:Q22)</f>
        <v>488.6</v>
      </c>
      <c r="R21" s="162">
        <f>E21+F21+G21+H21+I21+J21+O21+K21+L21+M21+N21+O21</f>
        <v>18</v>
      </c>
      <c r="S21" s="2"/>
      <c r="AJ21" s="26"/>
      <c r="AN21" s="21"/>
      <c r="AO21" s="21"/>
      <c r="AP21" s="21"/>
      <c r="AQ21" s="21"/>
      <c r="AR21" s="21"/>
      <c r="AS21" s="21"/>
      <c r="AT21" s="21"/>
      <c r="AU21" s="21"/>
      <c r="AV21" s="3"/>
    </row>
    <row r="22" spans="3:48" ht="11.25" customHeight="1" thickBot="1">
      <c r="C22" s="168"/>
      <c r="D22" s="149"/>
      <c r="E22" s="140">
        <v>470</v>
      </c>
      <c r="F22" s="140">
        <v>458</v>
      </c>
      <c r="G22" s="140">
        <f>157+153+163</f>
        <v>473</v>
      </c>
      <c r="H22" s="140">
        <v>479</v>
      </c>
      <c r="I22" s="140">
        <f>166+161+160</f>
        <v>487</v>
      </c>
      <c r="J22" s="140">
        <v>482</v>
      </c>
      <c r="K22" s="140">
        <v>498</v>
      </c>
      <c r="L22" s="140">
        <f>176+156+168</f>
        <v>500</v>
      </c>
      <c r="M22" s="140">
        <f>178+178+169</f>
        <v>525</v>
      </c>
      <c r="N22" s="140">
        <f>177+168+169</f>
        <v>514</v>
      </c>
      <c r="O22" s="141"/>
      <c r="P22" s="173"/>
      <c r="Q22" s="225"/>
      <c r="R22" s="189"/>
      <c r="S22" s="2"/>
      <c r="AJ22" s="26"/>
      <c r="AN22" s="21"/>
      <c r="AO22" s="21"/>
      <c r="AP22" s="21"/>
      <c r="AQ22" s="21"/>
      <c r="AR22" s="21"/>
      <c r="AS22" s="21"/>
      <c r="AT22" s="21"/>
      <c r="AU22" s="21"/>
      <c r="AV22" s="3"/>
    </row>
    <row r="23" spans="3:48" ht="11.25" customHeight="1">
      <c r="C23" s="164" t="s">
        <v>18</v>
      </c>
      <c r="D23" s="160" t="s">
        <v>50</v>
      </c>
      <c r="E23" s="107">
        <v>1</v>
      </c>
      <c r="F23" s="107">
        <v>3</v>
      </c>
      <c r="G23" s="107">
        <v>1</v>
      </c>
      <c r="H23" s="107">
        <v>1</v>
      </c>
      <c r="I23" s="107">
        <v>1</v>
      </c>
      <c r="J23" s="107">
        <v>1</v>
      </c>
      <c r="K23" s="107">
        <v>3</v>
      </c>
      <c r="L23" s="107">
        <v>1</v>
      </c>
      <c r="M23" s="107">
        <v>1</v>
      </c>
      <c r="N23" s="107">
        <v>3</v>
      </c>
      <c r="O23" s="108"/>
      <c r="P23" s="176">
        <f>E24+F24+G24+H24+I24+J24+K24+L24+M24+N24+O24</f>
        <v>4821</v>
      </c>
      <c r="Q23" s="150">
        <f>AVERAGE(E24:Q24)</f>
        <v>482.1</v>
      </c>
      <c r="R23" s="203">
        <f>E23+F23+G23+H23+I23+J23+O23+K23+L23+M23+N23+O23</f>
        <v>16</v>
      </c>
      <c r="S23" s="2"/>
      <c r="AN23" s="40"/>
      <c r="AO23" s="40"/>
      <c r="AP23" s="21"/>
      <c r="AQ23" s="21"/>
      <c r="AR23" s="40"/>
      <c r="AS23" s="40"/>
      <c r="AT23" s="22"/>
      <c r="AU23" s="22"/>
      <c r="AV23" s="3"/>
    </row>
    <row r="24" spans="3:48" ht="11.25" customHeight="1" thickBot="1">
      <c r="C24" s="165"/>
      <c r="D24" s="161"/>
      <c r="E24" s="102">
        <f>165+151+167</f>
        <v>483</v>
      </c>
      <c r="F24" s="102">
        <v>472</v>
      </c>
      <c r="G24" s="102">
        <f>166+160+158</f>
        <v>484</v>
      </c>
      <c r="H24" s="102">
        <v>489</v>
      </c>
      <c r="I24" s="102">
        <f>163+175+162</f>
        <v>500</v>
      </c>
      <c r="J24" s="102">
        <v>452</v>
      </c>
      <c r="K24" s="102">
        <f>164+166+158</f>
        <v>488</v>
      </c>
      <c r="L24" s="102">
        <f>164+156+160</f>
        <v>480</v>
      </c>
      <c r="M24" s="102">
        <f>165+162+161</f>
        <v>488</v>
      </c>
      <c r="N24" s="102">
        <f>165+164+156</f>
        <v>485</v>
      </c>
      <c r="O24" s="103"/>
      <c r="P24" s="146"/>
      <c r="Q24" s="151"/>
      <c r="R24" s="204"/>
      <c r="S24" s="2"/>
      <c r="AN24" s="40"/>
      <c r="AO24" s="40"/>
      <c r="AP24" s="21"/>
      <c r="AQ24" s="21"/>
      <c r="AR24" s="40"/>
      <c r="AS24" s="40"/>
      <c r="AT24" s="22"/>
      <c r="AU24" s="22"/>
      <c r="AV24" s="3"/>
    </row>
    <row r="25" spans="3:48" ht="11.25" customHeight="1">
      <c r="C25" s="156" t="s">
        <v>19</v>
      </c>
      <c r="D25" s="148" t="s">
        <v>88</v>
      </c>
      <c r="E25" s="100">
        <v>1</v>
      </c>
      <c r="F25" s="100">
        <v>1</v>
      </c>
      <c r="G25" s="100">
        <v>1</v>
      </c>
      <c r="H25" s="100">
        <v>3</v>
      </c>
      <c r="I25" s="100">
        <v>3</v>
      </c>
      <c r="J25" s="100">
        <v>1</v>
      </c>
      <c r="K25" s="100">
        <v>3</v>
      </c>
      <c r="L25" s="100">
        <v>1</v>
      </c>
      <c r="M25" s="100">
        <v>1</v>
      </c>
      <c r="N25" s="100">
        <v>1</v>
      </c>
      <c r="O25" s="101"/>
      <c r="P25" s="172">
        <f>E26+F26+G26+H26+I26+J26+K26+L26+M26+N26+O26</f>
        <v>4735</v>
      </c>
      <c r="Q25" s="212">
        <f>AVERAGE(E26:Q26)</f>
        <v>473.5</v>
      </c>
      <c r="R25" s="162">
        <f>E25+F25+G25+H25+I25+J25+O25+K25+L25+M25+N25+O25</f>
        <v>16</v>
      </c>
      <c r="S25" s="2"/>
      <c r="AJ25" s="26"/>
      <c r="AN25" s="40"/>
      <c r="AO25" s="40"/>
      <c r="AP25" s="21"/>
      <c r="AQ25" s="21"/>
      <c r="AR25" s="40"/>
      <c r="AS25" s="40"/>
      <c r="AT25" s="22"/>
      <c r="AU25" s="22"/>
      <c r="AV25" s="3"/>
    </row>
    <row r="26" spans="3:48" ht="11.25" customHeight="1" thickBot="1">
      <c r="C26" s="168"/>
      <c r="D26" s="149"/>
      <c r="E26" s="140">
        <f>172+156+167</f>
        <v>495</v>
      </c>
      <c r="F26" s="140">
        <v>482</v>
      </c>
      <c r="G26" s="140">
        <f>166+162+162</f>
        <v>490</v>
      </c>
      <c r="H26" s="140">
        <v>503</v>
      </c>
      <c r="I26" s="140">
        <f>171+171+170</f>
        <v>512</v>
      </c>
      <c r="J26" s="140">
        <v>472</v>
      </c>
      <c r="K26" s="140">
        <v>495</v>
      </c>
      <c r="L26" s="140">
        <f>169+154+142</f>
        <v>465</v>
      </c>
      <c r="M26" s="140">
        <f>170+153</f>
        <v>323</v>
      </c>
      <c r="N26" s="140">
        <f>173+165+160</f>
        <v>498</v>
      </c>
      <c r="O26" s="141"/>
      <c r="P26" s="173"/>
      <c r="Q26" s="225"/>
      <c r="R26" s="189"/>
      <c r="S26" s="2"/>
      <c r="AN26" s="40"/>
      <c r="AO26" s="40"/>
      <c r="AP26" s="21"/>
      <c r="AQ26" s="21"/>
      <c r="AR26" s="40"/>
      <c r="AS26" s="40"/>
      <c r="AT26" s="22"/>
      <c r="AU26" s="22"/>
      <c r="AV26" s="3"/>
    </row>
    <row r="27" spans="3:43" ht="11.25" customHeight="1">
      <c r="C27" s="230" t="s">
        <v>20</v>
      </c>
      <c r="D27" s="231" t="s">
        <v>103</v>
      </c>
      <c r="E27" s="232">
        <v>1</v>
      </c>
      <c r="F27" s="232">
        <v>1</v>
      </c>
      <c r="G27" s="232">
        <v>1</v>
      </c>
      <c r="H27" s="232">
        <v>1</v>
      </c>
      <c r="I27" s="232">
        <v>3</v>
      </c>
      <c r="J27" s="232">
        <v>3</v>
      </c>
      <c r="K27" s="232">
        <v>1</v>
      </c>
      <c r="L27" s="232">
        <v>1</v>
      </c>
      <c r="M27" s="232">
        <v>3</v>
      </c>
      <c r="N27" s="232">
        <v>1</v>
      </c>
      <c r="O27" s="233"/>
      <c r="P27" s="234">
        <f>E28+F28+G28+H28+I28+J28+K28+L28+M28+N28+O28</f>
        <v>4614</v>
      </c>
      <c r="Q27" s="235">
        <f>AVERAGE(E28:Q28)</f>
        <v>461.4</v>
      </c>
      <c r="R27" s="236">
        <f>E27+F27+G27+H27+I27+J27+O27+K27+L27+M27+N27+O27</f>
        <v>16</v>
      </c>
      <c r="S27" s="5"/>
      <c r="AM27" s="21"/>
      <c r="AN27" s="40"/>
      <c r="AO27" s="40"/>
      <c r="AP27" s="22"/>
      <c r="AQ27" s="22"/>
    </row>
    <row r="28" spans="3:43" ht="11.25" customHeight="1" thickBot="1">
      <c r="C28" s="237"/>
      <c r="D28" s="238"/>
      <c r="E28" s="239">
        <f>161+143+178</f>
        <v>482</v>
      </c>
      <c r="F28" s="239">
        <v>485</v>
      </c>
      <c r="G28" s="239">
        <f>175+150</f>
        <v>325</v>
      </c>
      <c r="H28" s="239">
        <v>458</v>
      </c>
      <c r="I28" s="239">
        <f>167+160+169</f>
        <v>496</v>
      </c>
      <c r="J28" s="239">
        <v>487</v>
      </c>
      <c r="K28" s="239">
        <v>450</v>
      </c>
      <c r="L28" s="239">
        <f>161+145+162</f>
        <v>468</v>
      </c>
      <c r="M28" s="239">
        <f>163+156+170</f>
        <v>489</v>
      </c>
      <c r="N28" s="239">
        <f>154+165+155</f>
        <v>474</v>
      </c>
      <c r="O28" s="240"/>
      <c r="P28" s="241"/>
      <c r="Q28" s="242"/>
      <c r="R28" s="243"/>
      <c r="S28" s="5"/>
      <c r="AJ28" s="27"/>
      <c r="AK28" s="28"/>
      <c r="AL28" s="28"/>
      <c r="AM28" s="28"/>
      <c r="AN28" s="28"/>
      <c r="AO28" s="28"/>
      <c r="AP28" s="28"/>
      <c r="AQ28" s="28"/>
    </row>
    <row r="29" spans="2:43" ht="13.5" customHeight="1">
      <c r="B29" s="6"/>
      <c r="C29" s="169" t="s">
        <v>25</v>
      </c>
      <c r="D29" s="191" t="s">
        <v>102</v>
      </c>
      <c r="E29" s="142">
        <v>1</v>
      </c>
      <c r="F29" s="142">
        <v>3</v>
      </c>
      <c r="G29" s="142">
        <v>3</v>
      </c>
      <c r="H29" s="142">
        <v>1</v>
      </c>
      <c r="I29" s="142">
        <v>1</v>
      </c>
      <c r="J29" s="142">
        <v>1</v>
      </c>
      <c r="K29" s="142">
        <v>1</v>
      </c>
      <c r="L29" s="142">
        <v>1</v>
      </c>
      <c r="M29" s="142">
        <v>1</v>
      </c>
      <c r="N29" s="142">
        <v>1</v>
      </c>
      <c r="O29" s="143"/>
      <c r="P29" s="181">
        <f>E30+F30+G30+H30+I30+J30+K30+L30+M30+N30+O30</f>
        <v>4607</v>
      </c>
      <c r="Q29" s="208">
        <f>AVERAGE(E30:Q30)</f>
        <v>460.7</v>
      </c>
      <c r="R29" s="226">
        <f>E29+F29+G29+H29+I29+J29+O29+K29+L29+M29+N29+O29</f>
        <v>14</v>
      </c>
      <c r="S29" s="4"/>
      <c r="T29" s="5"/>
      <c r="U29" s="49"/>
      <c r="V29" s="49"/>
      <c r="W29" s="50"/>
      <c r="X29" s="50"/>
      <c r="Y29" s="51"/>
      <c r="Z29" s="50"/>
      <c r="AA29" s="51"/>
      <c r="AB29" s="50"/>
      <c r="AC29" s="50"/>
      <c r="AD29" s="49"/>
      <c r="AE29" s="32"/>
      <c r="AJ29" s="27"/>
      <c r="AK29" s="21"/>
      <c r="AL29" s="21"/>
      <c r="AM29" s="21"/>
      <c r="AN29" s="21"/>
      <c r="AO29" s="21"/>
      <c r="AP29" s="21"/>
      <c r="AQ29" s="21"/>
    </row>
    <row r="30" spans="3:46" ht="13.5" customHeight="1" thickBot="1">
      <c r="C30" s="170"/>
      <c r="D30" s="192"/>
      <c r="E30" s="144">
        <f>168+136+167</f>
        <v>471</v>
      </c>
      <c r="F30" s="144">
        <v>473</v>
      </c>
      <c r="G30" s="144">
        <f>171+161+159</f>
        <v>491</v>
      </c>
      <c r="H30" s="144">
        <v>454</v>
      </c>
      <c r="I30" s="144">
        <f>154+163+158</f>
        <v>475</v>
      </c>
      <c r="J30" s="144">
        <v>419</v>
      </c>
      <c r="K30" s="144">
        <f>147+148+146</f>
        <v>441</v>
      </c>
      <c r="L30" s="144">
        <f>155+161+149</f>
        <v>465</v>
      </c>
      <c r="M30" s="144">
        <f>166+143+155</f>
        <v>464</v>
      </c>
      <c r="N30" s="144">
        <v>454</v>
      </c>
      <c r="O30" s="145"/>
      <c r="P30" s="182"/>
      <c r="Q30" s="209"/>
      <c r="R30" s="227"/>
      <c r="S30" s="18"/>
      <c r="T30" s="18"/>
      <c r="U30" s="18"/>
      <c r="V30" s="4"/>
      <c r="W30" s="49"/>
      <c r="X30" s="49"/>
      <c r="Y30" s="50"/>
      <c r="Z30" s="50"/>
      <c r="AA30" s="51"/>
      <c r="AB30" s="50"/>
      <c r="AC30" s="51"/>
      <c r="AD30" s="50"/>
      <c r="AE30" s="50"/>
      <c r="AF30" s="49"/>
      <c r="AG30" s="32"/>
      <c r="AJ30" s="26"/>
      <c r="AL30" s="27"/>
      <c r="AM30" s="22"/>
      <c r="AN30" s="22"/>
      <c r="AO30" s="22"/>
      <c r="AP30" s="22"/>
      <c r="AQ30" s="22"/>
      <c r="AR30" s="22"/>
      <c r="AS30" s="22"/>
      <c r="AT30" s="3"/>
    </row>
    <row r="31" spans="1:46" ht="13.5" customHeight="1">
      <c r="A31" s="3"/>
      <c r="B31" s="3"/>
      <c r="C31" s="164" t="s">
        <v>26</v>
      </c>
      <c r="D31" s="160" t="s">
        <v>58</v>
      </c>
      <c r="E31" s="107">
        <v>3</v>
      </c>
      <c r="F31" s="107">
        <v>1</v>
      </c>
      <c r="G31" s="107">
        <v>1</v>
      </c>
      <c r="H31" s="107">
        <v>1</v>
      </c>
      <c r="I31" s="107">
        <v>1</v>
      </c>
      <c r="J31" s="107">
        <v>1</v>
      </c>
      <c r="K31" s="107">
        <v>1</v>
      </c>
      <c r="L31" s="107">
        <v>0</v>
      </c>
      <c r="M31" s="107">
        <v>1</v>
      </c>
      <c r="N31" s="107">
        <v>0</v>
      </c>
      <c r="O31" s="108"/>
      <c r="P31" s="176">
        <f>E32+F32+G32+H32+I32+J32+K32+L32+M32+N32+O32</f>
        <v>2974</v>
      </c>
      <c r="Q31" s="150">
        <f>AVERAGE(E32:Q32)</f>
        <v>297.4</v>
      </c>
      <c r="R31" s="203">
        <f>E31+F31+G31+H31+I31+J31+O31+K31+L31+M31+N31+O31</f>
        <v>10</v>
      </c>
      <c r="S31" s="18"/>
      <c r="T31" s="18"/>
      <c r="U31" s="18"/>
      <c r="V31" s="18"/>
      <c r="W31" s="49"/>
      <c r="X31" s="49"/>
      <c r="Y31" s="50"/>
      <c r="Z31" s="50"/>
      <c r="AA31" s="51"/>
      <c r="AB31" s="50"/>
      <c r="AC31" s="51"/>
      <c r="AD31" s="50"/>
      <c r="AE31" s="50"/>
      <c r="AF31" s="49"/>
      <c r="AG31" s="32"/>
      <c r="AJ31" s="26"/>
      <c r="AL31" s="27"/>
      <c r="AM31" s="22"/>
      <c r="AN31" s="22"/>
      <c r="AO31" s="22"/>
      <c r="AP31" s="22"/>
      <c r="AQ31" s="22"/>
      <c r="AR31" s="22"/>
      <c r="AS31" s="22"/>
      <c r="AT31" s="3"/>
    </row>
    <row r="32" spans="1:46" ht="13.5" customHeight="1" thickBot="1">
      <c r="A32" s="8"/>
      <c r="B32" s="8"/>
      <c r="C32" s="165"/>
      <c r="D32" s="161"/>
      <c r="E32" s="102">
        <f>165+161+168</f>
        <v>494</v>
      </c>
      <c r="F32" s="102">
        <v>326</v>
      </c>
      <c r="G32" s="102">
        <f>157+149+157</f>
        <v>463</v>
      </c>
      <c r="H32" s="102">
        <v>335</v>
      </c>
      <c r="I32" s="102">
        <f>167+167</f>
        <v>334</v>
      </c>
      <c r="J32" s="102">
        <v>344</v>
      </c>
      <c r="K32" s="102">
        <f>170+169</f>
        <v>339</v>
      </c>
      <c r="L32" s="102">
        <v>0</v>
      </c>
      <c r="M32" s="102">
        <f>171+168</f>
        <v>339</v>
      </c>
      <c r="N32" s="102">
        <v>0</v>
      </c>
      <c r="O32" s="103"/>
      <c r="P32" s="146"/>
      <c r="Q32" s="151"/>
      <c r="R32" s="204"/>
      <c r="S32" s="56"/>
      <c r="T32" s="56"/>
      <c r="U32" s="56"/>
      <c r="V32" s="18"/>
      <c r="W32" s="49"/>
      <c r="X32" s="49"/>
      <c r="Y32" s="50"/>
      <c r="Z32" s="50"/>
      <c r="AA32" s="51"/>
      <c r="AB32" s="50"/>
      <c r="AC32" s="51"/>
      <c r="AD32" s="50"/>
      <c r="AE32" s="50"/>
      <c r="AF32" s="49"/>
      <c r="AG32" s="32"/>
      <c r="AH32" s="32"/>
      <c r="AI32" s="32"/>
      <c r="AJ32" s="32"/>
      <c r="AK32" s="32"/>
      <c r="AL32" s="27"/>
      <c r="AM32" s="22"/>
      <c r="AN32" s="22"/>
      <c r="AO32" s="22"/>
      <c r="AP32" s="22"/>
      <c r="AQ32" s="22"/>
      <c r="AR32" s="22"/>
      <c r="AS32" s="22"/>
      <c r="AT32" s="3"/>
    </row>
    <row r="33" spans="1:46" ht="13.5" customHeight="1" thickBot="1">
      <c r="A33" s="8"/>
      <c r="B33" s="8"/>
      <c r="S33" s="56"/>
      <c r="T33" s="56"/>
      <c r="U33" s="56"/>
      <c r="V33" s="18"/>
      <c r="W33" s="49"/>
      <c r="X33" s="49"/>
      <c r="Y33" s="50"/>
      <c r="Z33" s="50"/>
      <c r="AA33" s="51"/>
      <c r="AB33" s="50"/>
      <c r="AC33" s="51"/>
      <c r="AD33" s="50"/>
      <c r="AE33" s="50"/>
      <c r="AF33" s="49"/>
      <c r="AG33" s="32"/>
      <c r="AH33" s="32"/>
      <c r="AI33" s="32"/>
      <c r="AJ33" s="32"/>
      <c r="AK33" s="32"/>
      <c r="AL33" s="27"/>
      <c r="AM33" s="22"/>
      <c r="AN33" s="22"/>
      <c r="AO33" s="22"/>
      <c r="AP33" s="22"/>
      <c r="AQ33" s="22"/>
      <c r="AR33" s="22"/>
      <c r="AS33" s="22"/>
      <c r="AT33" s="3"/>
    </row>
    <row r="34" spans="1:46" ht="13.5" customHeight="1" thickBot="1">
      <c r="A34" s="8"/>
      <c r="B34" s="8"/>
      <c r="C34" s="222" t="s">
        <v>97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4"/>
      <c r="U34" s="56"/>
      <c r="V34" s="18"/>
      <c r="W34" s="49"/>
      <c r="X34" s="49"/>
      <c r="Y34" s="50"/>
      <c r="Z34" s="50"/>
      <c r="AA34" s="51"/>
      <c r="AB34" s="50"/>
      <c r="AC34" s="51"/>
      <c r="AD34" s="50"/>
      <c r="AE34" s="50"/>
      <c r="AF34" s="49"/>
      <c r="AG34" s="32"/>
      <c r="AH34" s="32"/>
      <c r="AI34" s="32"/>
      <c r="AJ34" s="32"/>
      <c r="AK34" s="32"/>
      <c r="AL34" s="27"/>
      <c r="AM34" s="22"/>
      <c r="AN34" s="22"/>
      <c r="AO34" s="22"/>
      <c r="AP34" s="22"/>
      <c r="AQ34" s="22"/>
      <c r="AR34" s="22"/>
      <c r="AS34" s="22"/>
      <c r="AT34" s="3"/>
    </row>
    <row r="35" spans="1:46" ht="13.5" customHeight="1" thickBot="1">
      <c r="A35" s="8"/>
      <c r="B35" s="8"/>
      <c r="C35" s="215" t="s">
        <v>21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7"/>
      <c r="U35" s="56"/>
      <c r="V35" s="18"/>
      <c r="W35" s="49"/>
      <c r="X35" s="49"/>
      <c r="Y35" s="50"/>
      <c r="Z35" s="50"/>
      <c r="AA35" s="51"/>
      <c r="AB35" s="50"/>
      <c r="AC35" s="51"/>
      <c r="AD35" s="50"/>
      <c r="AE35" s="50"/>
      <c r="AF35" s="49"/>
      <c r="AG35" s="32"/>
      <c r="AH35" s="32"/>
      <c r="AI35" s="32"/>
      <c r="AJ35" s="32"/>
      <c r="AK35" s="32"/>
      <c r="AL35" s="27"/>
      <c r="AM35" s="22"/>
      <c r="AN35" s="22"/>
      <c r="AO35" s="22"/>
      <c r="AP35" s="22"/>
      <c r="AQ35" s="22"/>
      <c r="AR35" s="22"/>
      <c r="AS35" s="22"/>
      <c r="AT35" s="3"/>
    </row>
    <row r="36" spans="1:46" ht="13.5" customHeight="1" thickBot="1">
      <c r="A36" s="8"/>
      <c r="B36" s="8"/>
      <c r="C36" s="69"/>
      <c r="D36" s="70" t="s">
        <v>22</v>
      </c>
      <c r="E36" s="71" t="s">
        <v>23</v>
      </c>
      <c r="F36" s="71" t="s">
        <v>2</v>
      </c>
      <c r="G36" s="71" t="s">
        <v>3</v>
      </c>
      <c r="H36" s="71" t="s">
        <v>4</v>
      </c>
      <c r="I36" s="71" t="s">
        <v>5</v>
      </c>
      <c r="J36" s="71" t="s">
        <v>6</v>
      </c>
      <c r="K36" s="71" t="s">
        <v>7</v>
      </c>
      <c r="L36" s="72" t="s">
        <v>8</v>
      </c>
      <c r="M36" s="72" t="s">
        <v>98</v>
      </c>
      <c r="N36" s="72" t="s">
        <v>99</v>
      </c>
      <c r="O36" s="72" t="s">
        <v>108</v>
      </c>
      <c r="P36" s="72" t="s">
        <v>109</v>
      </c>
      <c r="Q36" s="73" t="s">
        <v>44</v>
      </c>
      <c r="R36" s="74" t="s">
        <v>49</v>
      </c>
      <c r="S36" s="74" t="s">
        <v>86</v>
      </c>
      <c r="T36" s="75" t="s">
        <v>24</v>
      </c>
      <c r="U36" s="56"/>
      <c r="V36" s="18"/>
      <c r="W36" s="49"/>
      <c r="X36" s="49"/>
      <c r="Y36" s="50"/>
      <c r="Z36" s="50"/>
      <c r="AA36" s="51"/>
      <c r="AB36" s="50"/>
      <c r="AC36" s="51"/>
      <c r="AD36" s="50"/>
      <c r="AE36" s="50"/>
      <c r="AF36" s="49"/>
      <c r="AG36" s="32"/>
      <c r="AH36" s="32"/>
      <c r="AI36" s="32"/>
      <c r="AJ36" s="32"/>
      <c r="AK36" s="32"/>
      <c r="AL36" s="27"/>
      <c r="AM36" s="22"/>
      <c r="AN36" s="22"/>
      <c r="AO36" s="22"/>
      <c r="AP36" s="22"/>
      <c r="AQ36" s="22"/>
      <c r="AR36" s="22"/>
      <c r="AS36" s="22"/>
      <c r="AT36" s="3"/>
    </row>
    <row r="37" spans="1:46" s="92" customFormat="1" ht="13.5" customHeight="1" hidden="1" thickBot="1">
      <c r="A37" s="82"/>
      <c r="B37" s="82"/>
      <c r="C37" s="136" t="s">
        <v>148</v>
      </c>
      <c r="D37" s="137" t="s">
        <v>149</v>
      </c>
      <c r="E37" s="138" t="s">
        <v>150</v>
      </c>
      <c r="F37" s="138" t="s">
        <v>151</v>
      </c>
      <c r="G37" s="138" t="s">
        <v>152</v>
      </c>
      <c r="H37" s="138" t="s">
        <v>153</v>
      </c>
      <c r="I37" s="138" t="s">
        <v>154</v>
      </c>
      <c r="J37" s="138" t="s">
        <v>155</v>
      </c>
      <c r="K37" s="138" t="s">
        <v>156</v>
      </c>
      <c r="L37" s="138" t="s">
        <v>157</v>
      </c>
      <c r="M37" s="138" t="s">
        <v>158</v>
      </c>
      <c r="N37" s="138" t="s">
        <v>159</v>
      </c>
      <c r="O37" s="138" t="s">
        <v>160</v>
      </c>
      <c r="P37" s="138" t="s">
        <v>161</v>
      </c>
      <c r="Q37" s="138" t="s">
        <v>162</v>
      </c>
      <c r="R37" s="139" t="s">
        <v>163</v>
      </c>
      <c r="S37" s="138" t="s">
        <v>164</v>
      </c>
      <c r="T37" s="93" t="s">
        <v>165</v>
      </c>
      <c r="U37" s="83"/>
      <c r="V37" s="84"/>
      <c r="W37" s="85"/>
      <c r="X37" s="85"/>
      <c r="Y37" s="86"/>
      <c r="Z37" s="86"/>
      <c r="AA37" s="87"/>
      <c r="AB37" s="86"/>
      <c r="AC37" s="87"/>
      <c r="AD37" s="86"/>
      <c r="AE37" s="86"/>
      <c r="AF37" s="85"/>
      <c r="AG37" s="88"/>
      <c r="AH37" s="88"/>
      <c r="AI37" s="88"/>
      <c r="AJ37" s="88"/>
      <c r="AK37" s="88"/>
      <c r="AL37" s="89"/>
      <c r="AM37" s="90"/>
      <c r="AN37" s="90"/>
      <c r="AO37" s="90"/>
      <c r="AP37" s="90"/>
      <c r="AQ37" s="90"/>
      <c r="AR37" s="90"/>
      <c r="AS37" s="90"/>
      <c r="AT37" s="91"/>
    </row>
    <row r="38" spans="1:46" ht="13.5" customHeight="1">
      <c r="A38" s="8"/>
      <c r="B38" s="8"/>
      <c r="C38" s="119" t="s">
        <v>11</v>
      </c>
      <c r="D38" s="120" t="s">
        <v>67</v>
      </c>
      <c r="E38" s="121" t="s">
        <v>57</v>
      </c>
      <c r="F38" s="122">
        <v>181</v>
      </c>
      <c r="G38" s="122">
        <v>180</v>
      </c>
      <c r="H38" s="122">
        <v>182</v>
      </c>
      <c r="I38" s="122">
        <v>182</v>
      </c>
      <c r="J38" s="122">
        <v>185</v>
      </c>
      <c r="K38" s="122">
        <v>187</v>
      </c>
      <c r="L38" s="122">
        <v>182</v>
      </c>
      <c r="M38" s="122">
        <v>189</v>
      </c>
      <c r="N38" s="122">
        <v>185</v>
      </c>
      <c r="O38" s="122">
        <v>188</v>
      </c>
      <c r="P38" s="122"/>
      <c r="Q38" s="122">
        <f aca="true" t="shared" si="0" ref="Q38:Q69">F38+G38+H38+I38+J38+K38+L38+M38+N38+O38+P38</f>
        <v>1841</v>
      </c>
      <c r="R38" s="123">
        <f aca="true" t="shared" si="1" ref="R38:R69">MIN(F38:Q38)</f>
        <v>180</v>
      </c>
      <c r="S38" s="124">
        <f>AVERAGE(F38:P38)</f>
        <v>184.1</v>
      </c>
      <c r="T38" s="125">
        <f aca="true" t="shared" si="2" ref="T38:T69">Q38-R38</f>
        <v>1661</v>
      </c>
      <c r="U38" s="56"/>
      <c r="V38" s="18"/>
      <c r="W38" s="49"/>
      <c r="X38" s="49"/>
      <c r="Y38" s="50"/>
      <c r="Z38" s="50"/>
      <c r="AA38" s="51"/>
      <c r="AB38" s="50"/>
      <c r="AC38" s="51"/>
      <c r="AD38" s="50"/>
      <c r="AE38" s="50"/>
      <c r="AF38" s="49"/>
      <c r="AG38" s="32"/>
      <c r="AH38" s="32"/>
      <c r="AI38" s="32"/>
      <c r="AJ38" s="32"/>
      <c r="AK38" s="32"/>
      <c r="AL38" s="27"/>
      <c r="AM38" s="22"/>
      <c r="AN38" s="22"/>
      <c r="AO38" s="22"/>
      <c r="AP38" s="22"/>
      <c r="AQ38" s="22"/>
      <c r="AR38" s="22"/>
      <c r="AS38" s="22"/>
      <c r="AT38" s="3"/>
    </row>
    <row r="39" spans="1:46" ht="13.5" customHeight="1">
      <c r="A39" s="8"/>
      <c r="B39" s="8"/>
      <c r="C39" s="94" t="s">
        <v>12</v>
      </c>
      <c r="D39" s="41" t="s">
        <v>75</v>
      </c>
      <c r="E39" s="42" t="s">
        <v>54</v>
      </c>
      <c r="F39" s="42">
        <v>186</v>
      </c>
      <c r="G39" s="42">
        <v>171</v>
      </c>
      <c r="H39" s="42">
        <v>185</v>
      </c>
      <c r="I39" s="42">
        <v>178</v>
      </c>
      <c r="J39" s="42">
        <v>181</v>
      </c>
      <c r="K39" s="42">
        <v>183</v>
      </c>
      <c r="L39" s="42">
        <v>183</v>
      </c>
      <c r="M39" s="42">
        <v>183</v>
      </c>
      <c r="N39" s="42">
        <v>186</v>
      </c>
      <c r="O39" s="42">
        <v>185</v>
      </c>
      <c r="P39" s="42"/>
      <c r="Q39" s="81">
        <f t="shared" si="0"/>
        <v>1821</v>
      </c>
      <c r="R39" s="43">
        <f t="shared" si="1"/>
        <v>171</v>
      </c>
      <c r="S39" s="44">
        <f>AVERAGE(F39:P39)</f>
        <v>182.1</v>
      </c>
      <c r="T39" s="95">
        <f t="shared" si="2"/>
        <v>1650</v>
      </c>
      <c r="U39" s="56"/>
      <c r="V39" s="18"/>
      <c r="W39" s="49"/>
      <c r="X39" s="49"/>
      <c r="Y39" s="50"/>
      <c r="Z39" s="50"/>
      <c r="AA39" s="51"/>
      <c r="AB39" s="50"/>
      <c r="AC39" s="51"/>
      <c r="AD39" s="50"/>
      <c r="AE39" s="50"/>
      <c r="AF39" s="49"/>
      <c r="AG39" s="32"/>
      <c r="AH39" s="32"/>
      <c r="AI39" s="32"/>
      <c r="AJ39" s="32"/>
      <c r="AK39" s="32"/>
      <c r="AL39" s="27"/>
      <c r="AM39" s="22"/>
      <c r="AN39" s="22"/>
      <c r="AO39" s="22"/>
      <c r="AP39" s="22"/>
      <c r="AQ39" s="22"/>
      <c r="AR39" s="22"/>
      <c r="AS39" s="22"/>
      <c r="AT39" s="3"/>
    </row>
    <row r="40" spans="1:46" ht="13.5" customHeight="1">
      <c r="A40" s="8"/>
      <c r="B40" s="8"/>
      <c r="C40" s="126" t="s">
        <v>13</v>
      </c>
      <c r="D40" s="127" t="s">
        <v>64</v>
      </c>
      <c r="E40" s="128" t="s">
        <v>87</v>
      </c>
      <c r="F40" s="128">
        <v>177</v>
      </c>
      <c r="G40" s="128">
        <v>181</v>
      </c>
      <c r="H40" s="128">
        <v>174</v>
      </c>
      <c r="I40" s="128">
        <v>181</v>
      </c>
      <c r="J40" s="128">
        <v>187</v>
      </c>
      <c r="K40" s="128">
        <v>177</v>
      </c>
      <c r="L40" s="128">
        <v>177</v>
      </c>
      <c r="M40" s="128">
        <v>176</v>
      </c>
      <c r="N40" s="128">
        <v>183</v>
      </c>
      <c r="O40" s="128">
        <v>183</v>
      </c>
      <c r="P40" s="128"/>
      <c r="Q40" s="129">
        <f t="shared" si="0"/>
        <v>1796</v>
      </c>
      <c r="R40" s="130">
        <f t="shared" si="1"/>
        <v>174</v>
      </c>
      <c r="S40" s="131">
        <f>AVERAGE(F40:P40)</f>
        <v>179.6</v>
      </c>
      <c r="T40" s="132">
        <f t="shared" si="2"/>
        <v>1622</v>
      </c>
      <c r="U40" s="56"/>
      <c r="V40" s="18"/>
      <c r="W40" s="49"/>
      <c r="X40" s="49"/>
      <c r="Y40" s="50"/>
      <c r="Z40" s="50"/>
      <c r="AA40" s="51"/>
      <c r="AB40" s="50"/>
      <c r="AC40" s="51"/>
      <c r="AD40" s="50"/>
      <c r="AE40" s="50"/>
      <c r="AF40" s="49"/>
      <c r="AG40" s="32"/>
      <c r="AH40" s="32"/>
      <c r="AI40" s="32"/>
      <c r="AJ40" s="32"/>
      <c r="AK40" s="32"/>
      <c r="AL40" s="27"/>
      <c r="AM40" s="22"/>
      <c r="AN40" s="22"/>
      <c r="AO40" s="22"/>
      <c r="AP40" s="22"/>
      <c r="AQ40" s="22"/>
      <c r="AR40" s="22"/>
      <c r="AS40" s="22"/>
      <c r="AT40" s="3"/>
    </row>
    <row r="41" spans="1:46" ht="13.5" customHeight="1">
      <c r="A41" s="8"/>
      <c r="B41" s="8"/>
      <c r="C41" s="94" t="s">
        <v>14</v>
      </c>
      <c r="D41" s="41" t="s">
        <v>63</v>
      </c>
      <c r="E41" s="42" t="s">
        <v>87</v>
      </c>
      <c r="F41" s="42">
        <v>183</v>
      </c>
      <c r="G41" s="45">
        <v>176</v>
      </c>
      <c r="H41" s="45">
        <v>177</v>
      </c>
      <c r="I41" s="45">
        <v>185</v>
      </c>
      <c r="J41" s="45">
        <v>177</v>
      </c>
      <c r="K41" s="45">
        <v>177</v>
      </c>
      <c r="L41" s="45">
        <v>180</v>
      </c>
      <c r="M41" s="45">
        <v>169</v>
      </c>
      <c r="N41" s="45">
        <v>178</v>
      </c>
      <c r="O41" s="45">
        <v>180</v>
      </c>
      <c r="P41" s="45"/>
      <c r="Q41" s="81">
        <f t="shared" si="0"/>
        <v>1782</v>
      </c>
      <c r="R41" s="43">
        <f t="shared" si="1"/>
        <v>169</v>
      </c>
      <c r="S41" s="44">
        <f>AVERAGE(F41:P41)</f>
        <v>178.2</v>
      </c>
      <c r="T41" s="95">
        <f t="shared" si="2"/>
        <v>1613</v>
      </c>
      <c r="U41" s="56"/>
      <c r="V41" s="18"/>
      <c r="W41" s="49"/>
      <c r="X41" s="49"/>
      <c r="Y41" s="50"/>
      <c r="Z41" s="50"/>
      <c r="AA41" s="51"/>
      <c r="AB41" s="50"/>
      <c r="AC41" s="51"/>
      <c r="AD41" s="50"/>
      <c r="AE41" s="50"/>
      <c r="AF41" s="49"/>
      <c r="AG41" s="32"/>
      <c r="AH41" s="32"/>
      <c r="AI41" s="32"/>
      <c r="AJ41" s="32"/>
      <c r="AK41" s="32"/>
      <c r="AL41" s="27"/>
      <c r="AM41" s="22"/>
      <c r="AN41" s="22"/>
      <c r="AO41" s="22"/>
      <c r="AP41" s="22"/>
      <c r="AQ41" s="22"/>
      <c r="AR41" s="22"/>
      <c r="AS41" s="22"/>
      <c r="AT41" s="3"/>
    </row>
    <row r="42" spans="1:46" ht="13.5" customHeight="1">
      <c r="A42" s="8"/>
      <c r="B42" s="8"/>
      <c r="C42" s="126" t="s">
        <v>15</v>
      </c>
      <c r="D42" s="127" t="s">
        <v>90</v>
      </c>
      <c r="E42" s="128" t="s">
        <v>57</v>
      </c>
      <c r="F42" s="128">
        <v>180</v>
      </c>
      <c r="G42" s="128">
        <v>177</v>
      </c>
      <c r="H42" s="128">
        <v>171</v>
      </c>
      <c r="I42" s="128">
        <v>184</v>
      </c>
      <c r="J42" s="128">
        <v>175</v>
      </c>
      <c r="K42" s="128">
        <v>180</v>
      </c>
      <c r="L42" s="128">
        <v>175</v>
      </c>
      <c r="M42" s="128">
        <v>183</v>
      </c>
      <c r="N42" s="128">
        <v>176</v>
      </c>
      <c r="O42" s="128">
        <v>181</v>
      </c>
      <c r="P42" s="128"/>
      <c r="Q42" s="129">
        <f t="shared" si="0"/>
        <v>1782</v>
      </c>
      <c r="R42" s="130">
        <f t="shared" si="1"/>
        <v>171</v>
      </c>
      <c r="S42" s="131">
        <f>AVERAGE(F42:P42)</f>
        <v>178.2</v>
      </c>
      <c r="T42" s="132">
        <f t="shared" si="2"/>
        <v>1611</v>
      </c>
      <c r="U42" s="56"/>
      <c r="V42" s="18"/>
      <c r="W42" s="49"/>
      <c r="X42" s="49"/>
      <c r="Y42" s="50"/>
      <c r="Z42" s="50"/>
      <c r="AA42" s="51"/>
      <c r="AB42" s="50"/>
      <c r="AC42" s="51"/>
      <c r="AD42" s="50"/>
      <c r="AE42" s="50"/>
      <c r="AF42" s="49"/>
      <c r="AG42" s="32"/>
      <c r="AH42" s="32"/>
      <c r="AI42" s="32"/>
      <c r="AJ42" s="32"/>
      <c r="AK42" s="32"/>
      <c r="AL42" s="27"/>
      <c r="AM42" s="22"/>
      <c r="AN42" s="22"/>
      <c r="AO42" s="22"/>
      <c r="AP42" s="22"/>
      <c r="AQ42" s="22"/>
      <c r="AR42" s="22"/>
      <c r="AS42" s="22"/>
      <c r="AT42" s="3"/>
    </row>
    <row r="43" spans="1:46" ht="13.5" customHeight="1">
      <c r="A43" s="8"/>
      <c r="B43" s="8"/>
      <c r="C43" s="94" t="s">
        <v>16</v>
      </c>
      <c r="D43" s="41" t="s">
        <v>72</v>
      </c>
      <c r="E43" s="42" t="s">
        <v>54</v>
      </c>
      <c r="F43" s="42">
        <v>180</v>
      </c>
      <c r="G43" s="45">
        <v>178</v>
      </c>
      <c r="H43" s="45">
        <v>178</v>
      </c>
      <c r="I43" s="45">
        <v>0</v>
      </c>
      <c r="J43" s="45">
        <v>181</v>
      </c>
      <c r="K43" s="45">
        <v>176</v>
      </c>
      <c r="L43" s="45">
        <v>176</v>
      </c>
      <c r="M43" s="45">
        <v>173</v>
      </c>
      <c r="N43" s="45">
        <v>177</v>
      </c>
      <c r="O43" s="45">
        <v>172</v>
      </c>
      <c r="P43" s="45"/>
      <c r="Q43" s="81">
        <f t="shared" si="0"/>
        <v>1591</v>
      </c>
      <c r="R43" s="43">
        <f t="shared" si="1"/>
        <v>0</v>
      </c>
      <c r="S43" s="44">
        <f>Q43/8</f>
        <v>198.875</v>
      </c>
      <c r="T43" s="95">
        <f t="shared" si="2"/>
        <v>1591</v>
      </c>
      <c r="U43" s="56"/>
      <c r="V43" s="18"/>
      <c r="W43" s="49"/>
      <c r="X43" s="49"/>
      <c r="Y43" s="50"/>
      <c r="Z43" s="50"/>
      <c r="AA43" s="51"/>
      <c r="AB43" s="50"/>
      <c r="AC43" s="51"/>
      <c r="AD43" s="50"/>
      <c r="AE43" s="50"/>
      <c r="AF43" s="49"/>
      <c r="AG43" s="32"/>
      <c r="AH43" s="32"/>
      <c r="AI43" s="32"/>
      <c r="AJ43" s="32"/>
      <c r="AK43" s="32"/>
      <c r="AL43" s="27"/>
      <c r="AM43" s="22"/>
      <c r="AN43" s="22"/>
      <c r="AO43" s="22"/>
      <c r="AP43" s="22"/>
      <c r="AQ43" s="22"/>
      <c r="AR43" s="22"/>
      <c r="AS43" s="22"/>
      <c r="AT43" s="3"/>
    </row>
    <row r="44" spans="1:46" ht="13.5" customHeight="1">
      <c r="A44" s="8"/>
      <c r="B44" s="8"/>
      <c r="C44" s="126" t="s">
        <v>17</v>
      </c>
      <c r="D44" s="127" t="s">
        <v>94</v>
      </c>
      <c r="E44" s="128" t="s">
        <v>133</v>
      </c>
      <c r="F44" s="128">
        <v>177</v>
      </c>
      <c r="G44" s="128">
        <v>175</v>
      </c>
      <c r="H44" s="128">
        <v>181</v>
      </c>
      <c r="I44" s="128">
        <v>174</v>
      </c>
      <c r="J44" s="128">
        <v>164</v>
      </c>
      <c r="K44" s="128">
        <v>174</v>
      </c>
      <c r="L44" s="128">
        <v>180</v>
      </c>
      <c r="M44" s="128">
        <v>168</v>
      </c>
      <c r="N44" s="128">
        <v>176</v>
      </c>
      <c r="O44" s="128">
        <v>171</v>
      </c>
      <c r="P44" s="128"/>
      <c r="Q44" s="129">
        <f t="shared" si="0"/>
        <v>1740</v>
      </c>
      <c r="R44" s="130">
        <f t="shared" si="1"/>
        <v>164</v>
      </c>
      <c r="S44" s="131">
        <f>AVERAGE(F44:P44)</f>
        <v>174</v>
      </c>
      <c r="T44" s="132">
        <f t="shared" si="2"/>
        <v>1576</v>
      </c>
      <c r="U44" s="56"/>
      <c r="V44" s="18"/>
      <c r="W44" s="49"/>
      <c r="X44" s="49"/>
      <c r="Y44" s="50"/>
      <c r="Z44" s="50"/>
      <c r="AA44" s="51"/>
      <c r="AB44" s="50"/>
      <c r="AC44" s="51"/>
      <c r="AD44" s="50"/>
      <c r="AE44" s="50"/>
      <c r="AF44" s="49"/>
      <c r="AG44" s="32"/>
      <c r="AH44" s="32"/>
      <c r="AI44" s="32"/>
      <c r="AJ44" s="32"/>
      <c r="AK44" s="32"/>
      <c r="AL44" s="27"/>
      <c r="AM44" s="22"/>
      <c r="AN44" s="22"/>
      <c r="AO44" s="22"/>
      <c r="AP44" s="22"/>
      <c r="AQ44" s="22"/>
      <c r="AR44" s="22"/>
      <c r="AS44" s="22"/>
      <c r="AT44" s="3"/>
    </row>
    <row r="45" spans="1:46" ht="13.5" customHeight="1">
      <c r="A45" s="8"/>
      <c r="B45" s="8"/>
      <c r="C45" s="94" t="s">
        <v>18</v>
      </c>
      <c r="D45" s="41" t="s">
        <v>131</v>
      </c>
      <c r="E45" s="42" t="s">
        <v>87</v>
      </c>
      <c r="F45" s="42">
        <v>181</v>
      </c>
      <c r="G45" s="42">
        <v>168</v>
      </c>
      <c r="H45" s="42">
        <v>173</v>
      </c>
      <c r="I45" s="42">
        <v>179</v>
      </c>
      <c r="J45" s="42">
        <v>171</v>
      </c>
      <c r="K45" s="42">
        <v>173</v>
      </c>
      <c r="L45" s="42">
        <v>170</v>
      </c>
      <c r="M45" s="42">
        <v>177</v>
      </c>
      <c r="N45" s="42">
        <v>175</v>
      </c>
      <c r="O45" s="42">
        <v>175</v>
      </c>
      <c r="P45" s="42"/>
      <c r="Q45" s="81">
        <f t="shared" si="0"/>
        <v>1742</v>
      </c>
      <c r="R45" s="43">
        <f t="shared" si="1"/>
        <v>168</v>
      </c>
      <c r="S45" s="44">
        <f>AVERAGE(F45:P45)</f>
        <v>174.2</v>
      </c>
      <c r="T45" s="95">
        <f t="shared" si="2"/>
        <v>1574</v>
      </c>
      <c r="U45" s="56"/>
      <c r="V45" s="18"/>
      <c r="W45" s="49"/>
      <c r="X45" s="49"/>
      <c r="Y45" s="50"/>
      <c r="Z45" s="50"/>
      <c r="AA45" s="51"/>
      <c r="AB45" s="50"/>
      <c r="AC45" s="51"/>
      <c r="AD45" s="50"/>
      <c r="AE45" s="50"/>
      <c r="AF45" s="49"/>
      <c r="AG45" s="32"/>
      <c r="AH45" s="32"/>
      <c r="AI45" s="32"/>
      <c r="AJ45" s="32"/>
      <c r="AK45" s="32"/>
      <c r="AL45" s="27"/>
      <c r="AM45" s="22"/>
      <c r="AN45" s="22"/>
      <c r="AO45" s="22"/>
      <c r="AP45" s="22"/>
      <c r="AQ45" s="22"/>
      <c r="AR45" s="22"/>
      <c r="AS45" s="22"/>
      <c r="AT45" s="3"/>
    </row>
    <row r="46" spans="1:46" ht="13.5" customHeight="1">
      <c r="A46" s="8"/>
      <c r="B46" s="8"/>
      <c r="C46" s="126" t="s">
        <v>19</v>
      </c>
      <c r="D46" s="127" t="s">
        <v>60</v>
      </c>
      <c r="E46" s="128" t="s">
        <v>133</v>
      </c>
      <c r="F46" s="128">
        <v>176</v>
      </c>
      <c r="G46" s="128">
        <v>175</v>
      </c>
      <c r="H46" s="128">
        <v>174</v>
      </c>
      <c r="I46" s="128">
        <v>183</v>
      </c>
      <c r="J46" s="128">
        <v>172</v>
      </c>
      <c r="K46" s="128">
        <v>165</v>
      </c>
      <c r="L46" s="128">
        <v>172</v>
      </c>
      <c r="M46" s="128">
        <v>169</v>
      </c>
      <c r="N46" s="128">
        <v>171</v>
      </c>
      <c r="O46" s="128">
        <v>173</v>
      </c>
      <c r="P46" s="128"/>
      <c r="Q46" s="129">
        <f t="shared" si="0"/>
        <v>1730</v>
      </c>
      <c r="R46" s="130">
        <f t="shared" si="1"/>
        <v>165</v>
      </c>
      <c r="S46" s="131">
        <f>AVERAGE(F46:P46)</f>
        <v>173</v>
      </c>
      <c r="T46" s="132">
        <f t="shared" si="2"/>
        <v>1565</v>
      </c>
      <c r="U46" s="56"/>
      <c r="V46" s="18"/>
      <c r="W46" s="49"/>
      <c r="X46" s="49"/>
      <c r="Y46" s="50"/>
      <c r="Z46" s="50"/>
      <c r="AA46" s="51"/>
      <c r="AB46" s="50"/>
      <c r="AC46" s="51"/>
      <c r="AD46" s="50"/>
      <c r="AE46" s="50"/>
      <c r="AF46" s="49"/>
      <c r="AG46" s="32"/>
      <c r="AH46" s="32"/>
      <c r="AI46" s="32"/>
      <c r="AJ46" s="32"/>
      <c r="AK46" s="32"/>
      <c r="AL46" s="27"/>
      <c r="AM46" s="22"/>
      <c r="AN46" s="22"/>
      <c r="AO46" s="22"/>
      <c r="AP46" s="22"/>
      <c r="AQ46" s="22"/>
      <c r="AR46" s="22"/>
      <c r="AS46" s="22"/>
      <c r="AT46" s="3"/>
    </row>
    <row r="47" spans="1:46" ht="13.5" customHeight="1">
      <c r="A47" s="8"/>
      <c r="B47" s="8"/>
      <c r="C47" s="94" t="s">
        <v>20</v>
      </c>
      <c r="D47" s="41" t="s">
        <v>74</v>
      </c>
      <c r="E47" s="42" t="s">
        <v>133</v>
      </c>
      <c r="F47" s="42">
        <v>172</v>
      </c>
      <c r="G47" s="45">
        <v>171</v>
      </c>
      <c r="H47" s="45">
        <v>171</v>
      </c>
      <c r="I47" s="45">
        <v>172</v>
      </c>
      <c r="J47" s="45">
        <v>170</v>
      </c>
      <c r="K47" s="45">
        <v>178</v>
      </c>
      <c r="L47" s="45">
        <v>177</v>
      </c>
      <c r="M47" s="45">
        <v>169</v>
      </c>
      <c r="N47" s="45">
        <v>175</v>
      </c>
      <c r="O47" s="45">
        <v>178</v>
      </c>
      <c r="P47" s="45"/>
      <c r="Q47" s="81">
        <f t="shared" si="0"/>
        <v>1733</v>
      </c>
      <c r="R47" s="43">
        <f t="shared" si="1"/>
        <v>169</v>
      </c>
      <c r="S47" s="44">
        <f>AVERAGE(F47:P47)</f>
        <v>173.3</v>
      </c>
      <c r="T47" s="95">
        <f t="shared" si="2"/>
        <v>1564</v>
      </c>
      <c r="U47" s="56"/>
      <c r="V47" s="18"/>
      <c r="W47" s="49"/>
      <c r="X47" s="49"/>
      <c r="Y47" s="50"/>
      <c r="Z47" s="50"/>
      <c r="AA47" s="51"/>
      <c r="AB47" s="50"/>
      <c r="AC47" s="51"/>
      <c r="AD47" s="50"/>
      <c r="AE47" s="50"/>
      <c r="AF47" s="49"/>
      <c r="AG47" s="32"/>
      <c r="AH47" s="32"/>
      <c r="AI47" s="32"/>
      <c r="AJ47" s="32"/>
      <c r="AK47" s="32"/>
      <c r="AL47" s="27"/>
      <c r="AM47" s="22"/>
      <c r="AN47" s="22"/>
      <c r="AO47" s="22"/>
      <c r="AP47" s="22"/>
      <c r="AQ47" s="22"/>
      <c r="AR47" s="22"/>
      <c r="AS47" s="22"/>
      <c r="AT47" s="3"/>
    </row>
    <row r="48" spans="1:46" ht="13.5" customHeight="1">
      <c r="A48" s="8"/>
      <c r="B48" s="8"/>
      <c r="C48" s="126" t="s">
        <v>25</v>
      </c>
      <c r="D48" s="229" t="s">
        <v>85</v>
      </c>
      <c r="E48" s="133" t="s">
        <v>57</v>
      </c>
      <c r="F48" s="133">
        <v>177</v>
      </c>
      <c r="G48" s="133">
        <v>174</v>
      </c>
      <c r="H48" s="133">
        <v>172</v>
      </c>
      <c r="I48" s="133">
        <v>173</v>
      </c>
      <c r="J48" s="133">
        <v>164</v>
      </c>
      <c r="K48" s="133">
        <v>178</v>
      </c>
      <c r="L48" s="133">
        <v>180</v>
      </c>
      <c r="M48" s="133">
        <v>168</v>
      </c>
      <c r="N48" s="133">
        <v>162</v>
      </c>
      <c r="O48" s="133">
        <v>176</v>
      </c>
      <c r="P48" s="133"/>
      <c r="Q48" s="129">
        <f t="shared" si="0"/>
        <v>1724</v>
      </c>
      <c r="R48" s="130">
        <f t="shared" si="1"/>
        <v>162</v>
      </c>
      <c r="S48" s="131">
        <f>AVERAGE(F48:P48)</f>
        <v>172.4</v>
      </c>
      <c r="T48" s="132">
        <f t="shared" si="2"/>
        <v>1562</v>
      </c>
      <c r="U48" s="56"/>
      <c r="V48" s="18"/>
      <c r="W48" s="49"/>
      <c r="X48" s="49"/>
      <c r="Y48" s="50"/>
      <c r="Z48" s="50"/>
      <c r="AA48" s="51"/>
      <c r="AB48" s="50"/>
      <c r="AC48" s="51"/>
      <c r="AD48" s="50"/>
      <c r="AE48" s="50"/>
      <c r="AF48" s="49"/>
      <c r="AG48" s="32"/>
      <c r="AH48" s="32"/>
      <c r="AI48" s="32"/>
      <c r="AJ48" s="32"/>
      <c r="AK48" s="32"/>
      <c r="AL48" s="27"/>
      <c r="AM48" s="22"/>
      <c r="AN48" s="22"/>
      <c r="AO48" s="22"/>
      <c r="AP48" s="22"/>
      <c r="AQ48" s="22"/>
      <c r="AR48" s="22"/>
      <c r="AS48" s="22"/>
      <c r="AT48" s="3"/>
    </row>
    <row r="49" spans="1:46" ht="13.5" customHeight="1">
      <c r="A49" s="8"/>
      <c r="B49" s="8"/>
      <c r="C49" s="94" t="s">
        <v>26</v>
      </c>
      <c r="D49" s="41" t="s">
        <v>125</v>
      </c>
      <c r="E49" s="42" t="s">
        <v>103</v>
      </c>
      <c r="F49" s="42">
        <v>178</v>
      </c>
      <c r="G49" s="42">
        <v>176</v>
      </c>
      <c r="H49" s="42">
        <v>175</v>
      </c>
      <c r="I49" s="42">
        <v>0</v>
      </c>
      <c r="J49" s="42">
        <v>169</v>
      </c>
      <c r="K49" s="42">
        <v>177</v>
      </c>
      <c r="L49" s="42">
        <v>170</v>
      </c>
      <c r="M49" s="42">
        <v>162</v>
      </c>
      <c r="N49" s="42">
        <v>170</v>
      </c>
      <c r="O49" s="42">
        <v>165</v>
      </c>
      <c r="P49" s="42"/>
      <c r="Q49" s="81">
        <f t="shared" si="0"/>
        <v>1542</v>
      </c>
      <c r="R49" s="43">
        <f t="shared" si="1"/>
        <v>0</v>
      </c>
      <c r="S49" s="44">
        <f>Q49/8</f>
        <v>192.75</v>
      </c>
      <c r="T49" s="95">
        <f t="shared" si="2"/>
        <v>1542</v>
      </c>
      <c r="U49" s="56"/>
      <c r="V49" s="18"/>
      <c r="W49" s="49"/>
      <c r="X49" s="49"/>
      <c r="Y49" s="50"/>
      <c r="Z49" s="50"/>
      <c r="AA49" s="51"/>
      <c r="AB49" s="50"/>
      <c r="AC49" s="51"/>
      <c r="AD49" s="50"/>
      <c r="AE49" s="50"/>
      <c r="AF49" s="49"/>
      <c r="AG49" s="32"/>
      <c r="AH49" s="32"/>
      <c r="AI49" s="32"/>
      <c r="AJ49" s="32"/>
      <c r="AK49" s="32"/>
      <c r="AL49" s="27"/>
      <c r="AM49" s="22"/>
      <c r="AN49" s="22"/>
      <c r="AO49" s="22"/>
      <c r="AP49" s="22"/>
      <c r="AQ49" s="22"/>
      <c r="AR49" s="22"/>
      <c r="AS49" s="22"/>
      <c r="AT49" s="3"/>
    </row>
    <row r="50" spans="1:46" ht="13.5" customHeight="1">
      <c r="A50" s="8"/>
      <c r="B50" s="8"/>
      <c r="C50" s="126" t="s">
        <v>27</v>
      </c>
      <c r="D50" s="127" t="s">
        <v>71</v>
      </c>
      <c r="E50" s="128" t="s">
        <v>54</v>
      </c>
      <c r="F50" s="128">
        <v>173</v>
      </c>
      <c r="G50" s="133">
        <v>163</v>
      </c>
      <c r="H50" s="133">
        <v>170</v>
      </c>
      <c r="I50" s="133">
        <v>169</v>
      </c>
      <c r="J50" s="133">
        <v>175</v>
      </c>
      <c r="K50" s="133">
        <v>170</v>
      </c>
      <c r="L50" s="133">
        <v>176</v>
      </c>
      <c r="M50" s="133">
        <v>165</v>
      </c>
      <c r="N50" s="133">
        <v>175</v>
      </c>
      <c r="O50" s="133">
        <v>0</v>
      </c>
      <c r="P50" s="133"/>
      <c r="Q50" s="129">
        <f t="shared" si="0"/>
        <v>1536</v>
      </c>
      <c r="R50" s="130">
        <f t="shared" si="1"/>
        <v>0</v>
      </c>
      <c r="S50" s="131">
        <f>AVERAGE(F50:P50)</f>
        <v>153.6</v>
      </c>
      <c r="T50" s="132">
        <f t="shared" si="2"/>
        <v>1536</v>
      </c>
      <c r="U50" s="56"/>
      <c r="V50" s="18"/>
      <c r="W50" s="49"/>
      <c r="X50" s="49"/>
      <c r="Y50" s="50"/>
      <c r="Z50" s="50"/>
      <c r="AA50" s="51"/>
      <c r="AB50" s="50"/>
      <c r="AC50" s="51"/>
      <c r="AD50" s="50"/>
      <c r="AE50" s="50"/>
      <c r="AF50" s="49"/>
      <c r="AG50" s="32"/>
      <c r="AH50" s="32"/>
      <c r="AI50" s="32"/>
      <c r="AJ50" s="32"/>
      <c r="AK50" s="32"/>
      <c r="AL50" s="27"/>
      <c r="AM50" s="22"/>
      <c r="AN50" s="22"/>
      <c r="AO50" s="22"/>
      <c r="AP50" s="22"/>
      <c r="AQ50" s="22"/>
      <c r="AR50" s="22"/>
      <c r="AS50" s="22"/>
      <c r="AT50" s="3"/>
    </row>
    <row r="51" spans="1:46" s="57" customFormat="1" ht="13.5" customHeight="1">
      <c r="A51" s="67"/>
      <c r="B51" s="67"/>
      <c r="C51" s="94" t="s">
        <v>28</v>
      </c>
      <c r="D51" s="41" t="s">
        <v>79</v>
      </c>
      <c r="E51" s="42" t="s">
        <v>59</v>
      </c>
      <c r="F51" s="42">
        <v>168</v>
      </c>
      <c r="G51" s="42">
        <v>175</v>
      </c>
      <c r="H51" s="42">
        <v>165</v>
      </c>
      <c r="I51" s="42">
        <v>170</v>
      </c>
      <c r="J51" s="42">
        <v>168</v>
      </c>
      <c r="K51" s="42">
        <v>166</v>
      </c>
      <c r="L51" s="42">
        <v>176</v>
      </c>
      <c r="M51" s="42">
        <v>159</v>
      </c>
      <c r="N51" s="42">
        <v>166</v>
      </c>
      <c r="O51" s="42">
        <v>169</v>
      </c>
      <c r="P51" s="42"/>
      <c r="Q51" s="81">
        <f t="shared" si="0"/>
        <v>1682</v>
      </c>
      <c r="R51" s="43">
        <f t="shared" si="1"/>
        <v>159</v>
      </c>
      <c r="S51" s="44">
        <f>AVERAGE(F51:P51)</f>
        <v>168.2</v>
      </c>
      <c r="T51" s="95">
        <f t="shared" si="2"/>
        <v>1523</v>
      </c>
      <c r="U51" s="56"/>
      <c r="V51" s="18"/>
      <c r="W51" s="49"/>
      <c r="X51" s="49"/>
      <c r="Y51" s="50"/>
      <c r="Z51" s="50"/>
      <c r="AA51" s="51"/>
      <c r="AB51" s="50"/>
      <c r="AC51" s="51"/>
      <c r="AD51" s="50"/>
      <c r="AE51" s="50"/>
      <c r="AF51" s="49"/>
      <c r="AG51" s="68"/>
      <c r="AH51" s="68"/>
      <c r="AI51" s="68"/>
      <c r="AJ51" s="68"/>
      <c r="AK51" s="68"/>
      <c r="AL51" s="27"/>
      <c r="AM51" s="22"/>
      <c r="AN51" s="22"/>
      <c r="AO51" s="22"/>
      <c r="AP51" s="22"/>
      <c r="AQ51" s="22"/>
      <c r="AR51" s="22"/>
      <c r="AS51" s="22"/>
      <c r="AT51" s="66"/>
    </row>
    <row r="52" spans="1:46" s="57" customFormat="1" ht="13.5" customHeight="1">
      <c r="A52" s="67"/>
      <c r="B52" s="67"/>
      <c r="C52" s="126" t="s">
        <v>29</v>
      </c>
      <c r="D52" s="127" t="s">
        <v>122</v>
      </c>
      <c r="E52" s="128" t="s">
        <v>104</v>
      </c>
      <c r="F52" s="128">
        <v>170</v>
      </c>
      <c r="G52" s="128">
        <v>160</v>
      </c>
      <c r="H52" s="128">
        <v>172</v>
      </c>
      <c r="I52" s="128">
        <v>174</v>
      </c>
      <c r="J52" s="128">
        <v>167</v>
      </c>
      <c r="K52" s="128">
        <v>162</v>
      </c>
      <c r="L52" s="128">
        <v>167</v>
      </c>
      <c r="M52" s="128">
        <v>169</v>
      </c>
      <c r="N52" s="128">
        <v>171</v>
      </c>
      <c r="O52" s="128">
        <v>171</v>
      </c>
      <c r="P52" s="128"/>
      <c r="Q52" s="129">
        <f t="shared" si="0"/>
        <v>1683</v>
      </c>
      <c r="R52" s="130">
        <f t="shared" si="1"/>
        <v>160</v>
      </c>
      <c r="S52" s="131">
        <f>AVERAGE(F52:P52)</f>
        <v>168.3</v>
      </c>
      <c r="T52" s="132">
        <f t="shared" si="2"/>
        <v>1523</v>
      </c>
      <c r="U52" s="56"/>
      <c r="V52" s="18"/>
      <c r="W52" s="49"/>
      <c r="X52" s="49"/>
      <c r="Y52" s="50"/>
      <c r="Z52" s="50"/>
      <c r="AA52" s="51"/>
      <c r="AB52" s="50"/>
      <c r="AC52" s="51"/>
      <c r="AD52" s="50"/>
      <c r="AE52" s="50"/>
      <c r="AF52" s="49"/>
      <c r="AG52" s="68"/>
      <c r="AH52" s="68"/>
      <c r="AI52" s="68"/>
      <c r="AJ52" s="68"/>
      <c r="AK52" s="68"/>
      <c r="AL52" s="27"/>
      <c r="AM52" s="22"/>
      <c r="AN52" s="22"/>
      <c r="AO52" s="22"/>
      <c r="AP52" s="22"/>
      <c r="AQ52" s="22"/>
      <c r="AR52" s="22"/>
      <c r="AS52" s="22"/>
      <c r="AT52" s="66"/>
    </row>
    <row r="53" spans="1:46" s="57" customFormat="1" ht="13.5" customHeight="1">
      <c r="A53" s="67"/>
      <c r="B53" s="67"/>
      <c r="C53" s="94" t="s">
        <v>30</v>
      </c>
      <c r="D53" s="41" t="s">
        <v>121</v>
      </c>
      <c r="E53" s="42" t="s">
        <v>104</v>
      </c>
      <c r="F53" s="42">
        <v>166</v>
      </c>
      <c r="G53" s="42">
        <v>160</v>
      </c>
      <c r="H53" s="42">
        <v>167</v>
      </c>
      <c r="I53" s="42">
        <v>171</v>
      </c>
      <c r="J53" s="42">
        <v>172</v>
      </c>
      <c r="K53" s="42">
        <v>173</v>
      </c>
      <c r="L53" s="42">
        <v>172</v>
      </c>
      <c r="M53" s="42">
        <v>158</v>
      </c>
      <c r="N53" s="42">
        <v>167</v>
      </c>
      <c r="O53" s="42">
        <v>168</v>
      </c>
      <c r="P53" s="42"/>
      <c r="Q53" s="81">
        <f t="shared" si="0"/>
        <v>1674</v>
      </c>
      <c r="R53" s="43">
        <f t="shared" si="1"/>
        <v>158</v>
      </c>
      <c r="S53" s="44">
        <f>AVERAGE(F53:P53)</f>
        <v>167.4</v>
      </c>
      <c r="T53" s="95">
        <f t="shared" si="2"/>
        <v>1516</v>
      </c>
      <c r="U53" s="56"/>
      <c r="V53" s="18"/>
      <c r="W53" s="49"/>
      <c r="X53" s="49"/>
      <c r="Y53" s="50"/>
      <c r="Z53" s="50"/>
      <c r="AA53" s="51"/>
      <c r="AB53" s="50"/>
      <c r="AC53" s="51"/>
      <c r="AD53" s="50"/>
      <c r="AE53" s="50"/>
      <c r="AF53" s="49"/>
      <c r="AG53" s="68"/>
      <c r="AH53" s="68"/>
      <c r="AI53" s="68"/>
      <c r="AJ53" s="68"/>
      <c r="AK53" s="68"/>
      <c r="AL53" s="27"/>
      <c r="AM53" s="22"/>
      <c r="AN53" s="22"/>
      <c r="AO53" s="22"/>
      <c r="AP53" s="22"/>
      <c r="AQ53" s="22"/>
      <c r="AR53" s="22"/>
      <c r="AS53" s="22"/>
      <c r="AT53" s="66"/>
    </row>
    <row r="54" spans="1:46" ht="13.5" customHeight="1">
      <c r="A54" s="8"/>
      <c r="B54" s="8"/>
      <c r="C54" s="126" t="s">
        <v>31</v>
      </c>
      <c r="D54" s="127" t="s">
        <v>119</v>
      </c>
      <c r="E54" s="128" t="s">
        <v>107</v>
      </c>
      <c r="F54" s="128">
        <v>145</v>
      </c>
      <c r="G54" s="128">
        <v>156</v>
      </c>
      <c r="H54" s="128">
        <v>156</v>
      </c>
      <c r="I54" s="128">
        <v>150</v>
      </c>
      <c r="J54" s="128">
        <v>169</v>
      </c>
      <c r="K54" s="128">
        <v>178</v>
      </c>
      <c r="L54" s="128">
        <v>174</v>
      </c>
      <c r="M54" s="128">
        <v>176</v>
      </c>
      <c r="N54" s="128">
        <v>178</v>
      </c>
      <c r="O54" s="128">
        <v>177</v>
      </c>
      <c r="P54" s="128"/>
      <c r="Q54" s="129">
        <f t="shared" si="0"/>
        <v>1659</v>
      </c>
      <c r="R54" s="130">
        <f t="shared" si="1"/>
        <v>145</v>
      </c>
      <c r="S54" s="131">
        <f>AVERAGE(F54:P54)</f>
        <v>165.9</v>
      </c>
      <c r="T54" s="132">
        <f t="shared" si="2"/>
        <v>1514</v>
      </c>
      <c r="U54" s="56"/>
      <c r="V54" s="18"/>
      <c r="W54" s="49"/>
      <c r="X54" s="49"/>
      <c r="Y54" s="50"/>
      <c r="Z54" s="50"/>
      <c r="AA54" s="51"/>
      <c r="AB54" s="50"/>
      <c r="AC54" s="51"/>
      <c r="AD54" s="50"/>
      <c r="AE54" s="50"/>
      <c r="AF54" s="49"/>
      <c r="AG54" s="32"/>
      <c r="AH54" s="32"/>
      <c r="AI54" s="32"/>
      <c r="AJ54" s="32"/>
      <c r="AK54" s="32"/>
      <c r="AL54" s="27"/>
      <c r="AM54" s="22"/>
      <c r="AN54" s="22"/>
      <c r="AO54" s="22"/>
      <c r="AP54" s="22"/>
      <c r="AQ54" s="22"/>
      <c r="AR54" s="22"/>
      <c r="AS54" s="22"/>
      <c r="AT54" s="3"/>
    </row>
    <row r="55" spans="3:46" ht="13.5" customHeight="1">
      <c r="C55" s="94" t="s">
        <v>32</v>
      </c>
      <c r="D55" s="41" t="s">
        <v>77</v>
      </c>
      <c r="E55" s="42" t="s">
        <v>135</v>
      </c>
      <c r="F55" s="42">
        <v>167</v>
      </c>
      <c r="G55" s="42">
        <v>160</v>
      </c>
      <c r="H55" s="42">
        <v>162</v>
      </c>
      <c r="I55" s="42">
        <v>169</v>
      </c>
      <c r="J55" s="42">
        <v>173</v>
      </c>
      <c r="K55" s="42">
        <v>169</v>
      </c>
      <c r="L55" s="42">
        <v>167</v>
      </c>
      <c r="M55" s="42">
        <v>169</v>
      </c>
      <c r="N55" s="42">
        <v>170</v>
      </c>
      <c r="O55" s="42">
        <v>160</v>
      </c>
      <c r="P55" s="42"/>
      <c r="Q55" s="81">
        <f t="shared" si="0"/>
        <v>1666</v>
      </c>
      <c r="R55" s="43">
        <f t="shared" si="1"/>
        <v>160</v>
      </c>
      <c r="S55" s="44">
        <f>AVERAGE(F55:P55)</f>
        <v>166.6</v>
      </c>
      <c r="T55" s="95">
        <f t="shared" si="2"/>
        <v>1506</v>
      </c>
      <c r="U55" s="19"/>
      <c r="V55" s="19"/>
      <c r="W55" s="49"/>
      <c r="X55" s="49"/>
      <c r="Y55" s="51"/>
      <c r="Z55" s="51"/>
      <c r="AA55" s="51"/>
      <c r="AB55" s="51"/>
      <c r="AC55" s="51"/>
      <c r="AD55" s="51"/>
      <c r="AE55" s="51"/>
      <c r="AF55" s="49"/>
      <c r="AG55" s="22"/>
      <c r="AH55" s="22"/>
      <c r="AI55" s="22"/>
      <c r="AJ55" s="22"/>
      <c r="AK55" s="22"/>
      <c r="AL55" s="27"/>
      <c r="AM55" s="22"/>
      <c r="AN55" s="22"/>
      <c r="AO55" s="22"/>
      <c r="AP55" s="22"/>
      <c r="AQ55" s="22"/>
      <c r="AR55" s="22"/>
      <c r="AS55" s="22"/>
      <c r="AT55" s="3"/>
    </row>
    <row r="56" spans="3:46" ht="13.5" customHeight="1">
      <c r="C56" s="126" t="s">
        <v>33</v>
      </c>
      <c r="D56" s="134" t="s">
        <v>69</v>
      </c>
      <c r="E56" s="128" t="s">
        <v>50</v>
      </c>
      <c r="F56" s="133">
        <v>165</v>
      </c>
      <c r="G56" s="128">
        <v>167</v>
      </c>
      <c r="H56" s="128">
        <v>166</v>
      </c>
      <c r="I56" s="128">
        <v>169</v>
      </c>
      <c r="J56" s="128">
        <v>175</v>
      </c>
      <c r="K56" s="128">
        <v>166</v>
      </c>
      <c r="L56" s="128">
        <v>164</v>
      </c>
      <c r="M56" s="128">
        <v>164</v>
      </c>
      <c r="N56" s="128">
        <v>165</v>
      </c>
      <c r="O56" s="128">
        <v>165</v>
      </c>
      <c r="P56" s="128"/>
      <c r="Q56" s="129">
        <f t="shared" si="0"/>
        <v>1666</v>
      </c>
      <c r="R56" s="130">
        <f t="shared" si="1"/>
        <v>164</v>
      </c>
      <c r="S56" s="131">
        <f>AVERAGE(F56:P56)</f>
        <v>166.6</v>
      </c>
      <c r="T56" s="132">
        <f t="shared" si="2"/>
        <v>1502</v>
      </c>
      <c r="U56" s="19"/>
      <c r="V56" s="19"/>
      <c r="W56" s="13"/>
      <c r="X56" s="13"/>
      <c r="Y56" s="50"/>
      <c r="Z56" s="50"/>
      <c r="AA56" s="51"/>
      <c r="AB56" s="50"/>
      <c r="AC56" s="50"/>
      <c r="AD56" s="50"/>
      <c r="AE56" s="50"/>
      <c r="AF56" s="22"/>
      <c r="AG56" s="22"/>
      <c r="AH56" s="22"/>
      <c r="AI56" s="22"/>
      <c r="AJ56" s="22"/>
      <c r="AK56" s="22"/>
      <c r="AL56" s="27"/>
      <c r="AM56" s="28"/>
      <c r="AN56" s="28"/>
      <c r="AO56" s="28"/>
      <c r="AP56" s="28"/>
      <c r="AQ56" s="28"/>
      <c r="AR56" s="28"/>
      <c r="AS56" s="28"/>
      <c r="AT56" s="3"/>
    </row>
    <row r="57" spans="1:47" s="8" customFormat="1" ht="13.5" customHeight="1">
      <c r="A57" s="1"/>
      <c r="B57" s="1"/>
      <c r="C57" s="94" t="s">
        <v>34</v>
      </c>
      <c r="D57" s="41" t="s">
        <v>139</v>
      </c>
      <c r="E57" s="42" t="s">
        <v>107</v>
      </c>
      <c r="F57" s="42">
        <v>0</v>
      </c>
      <c r="G57" s="42">
        <v>153</v>
      </c>
      <c r="H57" s="42">
        <v>157</v>
      </c>
      <c r="I57" s="42">
        <v>155</v>
      </c>
      <c r="J57" s="42">
        <v>166</v>
      </c>
      <c r="K57" s="42">
        <v>163</v>
      </c>
      <c r="L57" s="42">
        <v>165</v>
      </c>
      <c r="M57" s="42">
        <v>168</v>
      </c>
      <c r="N57" s="42">
        <v>178</v>
      </c>
      <c r="O57" s="42">
        <v>169</v>
      </c>
      <c r="P57" s="42"/>
      <c r="Q57" s="81">
        <f t="shared" si="0"/>
        <v>1474</v>
      </c>
      <c r="R57" s="43">
        <f t="shared" si="1"/>
        <v>0</v>
      </c>
      <c r="S57" s="44">
        <f>Q57/8</f>
        <v>184.25</v>
      </c>
      <c r="T57" s="95">
        <f t="shared" si="2"/>
        <v>1474</v>
      </c>
      <c r="U57" s="19"/>
      <c r="V57" s="19"/>
      <c r="W57" s="19"/>
      <c r="X57" s="19"/>
      <c r="Y57" s="13"/>
      <c r="Z57" s="13"/>
      <c r="AA57" s="50"/>
      <c r="AB57" s="50"/>
      <c r="AC57" s="51"/>
      <c r="AD57" s="50"/>
      <c r="AE57" s="50"/>
      <c r="AF57" s="50"/>
      <c r="AG57" s="50"/>
      <c r="AH57" s="22"/>
      <c r="AI57" s="28"/>
      <c r="AJ57" s="28"/>
      <c r="AK57" s="28"/>
      <c r="AL57" s="28"/>
      <c r="AM57" s="28"/>
      <c r="AN57" s="27"/>
      <c r="AO57" s="21"/>
      <c r="AP57" s="21"/>
      <c r="AQ57" s="21"/>
      <c r="AR57" s="21"/>
      <c r="AS57" s="21"/>
      <c r="AT57" s="21"/>
      <c r="AU57" s="21"/>
    </row>
    <row r="58" spans="3:48" ht="13.5" customHeight="1">
      <c r="C58" s="126" t="s">
        <v>35</v>
      </c>
      <c r="D58" s="127" t="s">
        <v>120</v>
      </c>
      <c r="E58" s="128" t="s">
        <v>107</v>
      </c>
      <c r="F58" s="128">
        <v>161</v>
      </c>
      <c r="G58" s="128">
        <v>153</v>
      </c>
      <c r="H58" s="128">
        <v>163</v>
      </c>
      <c r="I58" s="128">
        <v>164</v>
      </c>
      <c r="J58" s="128">
        <v>160</v>
      </c>
      <c r="K58" s="128">
        <v>171</v>
      </c>
      <c r="L58" s="128">
        <v>159</v>
      </c>
      <c r="M58" s="128">
        <v>156</v>
      </c>
      <c r="N58" s="128">
        <v>169</v>
      </c>
      <c r="O58" s="128">
        <v>168</v>
      </c>
      <c r="P58" s="128"/>
      <c r="Q58" s="129">
        <f t="shared" si="0"/>
        <v>1624</v>
      </c>
      <c r="R58" s="130">
        <f t="shared" si="1"/>
        <v>153</v>
      </c>
      <c r="S58" s="131">
        <f>AVERAGE(F58:P58)</f>
        <v>162.4</v>
      </c>
      <c r="T58" s="132">
        <f t="shared" si="2"/>
        <v>1471</v>
      </c>
      <c r="U58" s="19"/>
      <c r="V58" s="19"/>
      <c r="W58" s="19"/>
      <c r="X58" s="19"/>
      <c r="Y58" s="29"/>
      <c r="Z58" s="29"/>
      <c r="AA58" s="50"/>
      <c r="AB58" s="50"/>
      <c r="AC58" s="51"/>
      <c r="AD58" s="50"/>
      <c r="AE58" s="50"/>
      <c r="AF58" s="50"/>
      <c r="AG58" s="50"/>
      <c r="AH58" s="28"/>
      <c r="AI58" s="21"/>
      <c r="AJ58" s="21"/>
      <c r="AK58" s="21"/>
      <c r="AL58" s="21"/>
      <c r="AM58" s="21"/>
      <c r="AN58" s="27"/>
      <c r="AO58" s="22"/>
      <c r="AP58" s="22"/>
      <c r="AQ58" s="22"/>
      <c r="AR58" s="22"/>
      <c r="AS58" s="22"/>
      <c r="AT58" s="22"/>
      <c r="AU58" s="22"/>
      <c r="AV58" s="3"/>
    </row>
    <row r="59" spans="3:48" ht="13.5" customHeight="1">
      <c r="C59" s="94" t="s">
        <v>36</v>
      </c>
      <c r="D59" s="41" t="s">
        <v>128</v>
      </c>
      <c r="E59" s="42" t="s">
        <v>87</v>
      </c>
      <c r="F59" s="42">
        <v>167</v>
      </c>
      <c r="G59" s="42">
        <v>161</v>
      </c>
      <c r="H59" s="42">
        <v>163</v>
      </c>
      <c r="I59" s="42">
        <v>164</v>
      </c>
      <c r="J59" s="42">
        <v>162</v>
      </c>
      <c r="K59" s="42">
        <v>153</v>
      </c>
      <c r="L59" s="42">
        <v>165</v>
      </c>
      <c r="M59" s="42">
        <v>163</v>
      </c>
      <c r="N59" s="42">
        <v>149</v>
      </c>
      <c r="O59" s="42">
        <v>162</v>
      </c>
      <c r="P59" s="42"/>
      <c r="Q59" s="81">
        <f t="shared" si="0"/>
        <v>1609</v>
      </c>
      <c r="R59" s="43">
        <f t="shared" si="1"/>
        <v>149</v>
      </c>
      <c r="S59" s="44">
        <f>AVERAGE(F59:P59)</f>
        <v>160.9</v>
      </c>
      <c r="T59" s="95">
        <f t="shared" si="2"/>
        <v>1460</v>
      </c>
      <c r="U59" s="19"/>
      <c r="V59" s="19"/>
      <c r="W59" s="19"/>
      <c r="X59" s="19"/>
      <c r="Y59" s="30"/>
      <c r="Z59" s="31"/>
      <c r="AA59" s="50"/>
      <c r="AB59" s="50"/>
      <c r="AC59" s="51"/>
      <c r="AD59" s="50"/>
      <c r="AE59" s="50"/>
      <c r="AF59" s="50"/>
      <c r="AG59" s="50"/>
      <c r="AH59" s="21"/>
      <c r="AI59" s="22"/>
      <c r="AJ59" s="22"/>
      <c r="AK59" s="22"/>
      <c r="AL59" s="22"/>
      <c r="AM59" s="22"/>
      <c r="AN59" s="27"/>
      <c r="AO59" s="22"/>
      <c r="AP59" s="22"/>
      <c r="AQ59" s="22"/>
      <c r="AR59" s="22"/>
      <c r="AS59" s="22"/>
      <c r="AT59" s="22"/>
      <c r="AU59" s="22"/>
      <c r="AV59" s="3"/>
    </row>
    <row r="60" spans="3:48" ht="13.5" customHeight="1">
      <c r="C60" s="126" t="s">
        <v>37</v>
      </c>
      <c r="D60" s="127" t="s">
        <v>129</v>
      </c>
      <c r="E60" s="128" t="s">
        <v>50</v>
      </c>
      <c r="F60" s="128">
        <v>167</v>
      </c>
      <c r="G60" s="128">
        <v>160</v>
      </c>
      <c r="H60" s="128">
        <v>160</v>
      </c>
      <c r="I60" s="128">
        <v>161</v>
      </c>
      <c r="J60" s="128">
        <v>163</v>
      </c>
      <c r="K60" s="128">
        <v>156</v>
      </c>
      <c r="L60" s="128">
        <v>166</v>
      </c>
      <c r="M60" s="128">
        <v>156</v>
      </c>
      <c r="N60" s="128">
        <v>162</v>
      </c>
      <c r="O60" s="128">
        <v>164</v>
      </c>
      <c r="P60" s="128"/>
      <c r="Q60" s="129">
        <f t="shared" si="0"/>
        <v>1615</v>
      </c>
      <c r="R60" s="130">
        <f t="shared" si="1"/>
        <v>156</v>
      </c>
      <c r="S60" s="131">
        <f>AVERAGE(F60:P60)</f>
        <v>161.5</v>
      </c>
      <c r="T60" s="132">
        <f t="shared" si="2"/>
        <v>1459</v>
      </c>
      <c r="U60" s="19"/>
      <c r="V60" s="19"/>
      <c r="W60" s="19"/>
      <c r="X60" s="19"/>
      <c r="Y60" s="14"/>
      <c r="Z60" s="20"/>
      <c r="AA60" s="25"/>
      <c r="AB60" s="9"/>
      <c r="AC60" s="23"/>
      <c r="AD60" s="23"/>
      <c r="AE60" s="23"/>
      <c r="AF60" s="23"/>
      <c r="AH60" s="22"/>
      <c r="AI60" s="22"/>
      <c r="AJ60" s="22"/>
      <c r="AK60" s="22"/>
      <c r="AL60" s="22"/>
      <c r="AM60" s="22"/>
      <c r="AN60" s="27"/>
      <c r="AO60" s="22"/>
      <c r="AP60" s="22"/>
      <c r="AQ60" s="22"/>
      <c r="AR60" s="22"/>
      <c r="AS60" s="22"/>
      <c r="AT60" s="22"/>
      <c r="AU60" s="22"/>
      <c r="AV60" s="3"/>
    </row>
    <row r="61" spans="3:48" ht="13.5" customHeight="1">
      <c r="C61" s="94" t="s">
        <v>38</v>
      </c>
      <c r="D61" s="41" t="s">
        <v>123</v>
      </c>
      <c r="E61" s="42" t="s">
        <v>104</v>
      </c>
      <c r="F61" s="42">
        <v>164</v>
      </c>
      <c r="G61" s="42">
        <v>153</v>
      </c>
      <c r="H61" s="42">
        <v>151</v>
      </c>
      <c r="I61" s="42">
        <v>166</v>
      </c>
      <c r="J61" s="42">
        <v>165</v>
      </c>
      <c r="K61" s="42">
        <v>144</v>
      </c>
      <c r="L61" s="42">
        <v>169</v>
      </c>
      <c r="M61" s="42">
        <v>157</v>
      </c>
      <c r="N61" s="42">
        <v>166</v>
      </c>
      <c r="O61" s="42">
        <v>168</v>
      </c>
      <c r="P61" s="42"/>
      <c r="Q61" s="81">
        <f t="shared" si="0"/>
        <v>1603</v>
      </c>
      <c r="R61" s="43">
        <f t="shared" si="1"/>
        <v>144</v>
      </c>
      <c r="S61" s="44">
        <f>AVERAGE(F61:P61)</f>
        <v>160.3</v>
      </c>
      <c r="T61" s="95">
        <f t="shared" si="2"/>
        <v>1459</v>
      </c>
      <c r="U61" s="19"/>
      <c r="V61" s="19"/>
      <c r="W61" s="19"/>
      <c r="X61" s="19"/>
      <c r="Y61" s="14"/>
      <c r="Z61" s="20"/>
      <c r="AA61" s="51"/>
      <c r="AB61" s="51"/>
      <c r="AC61" s="51"/>
      <c r="AD61" s="51"/>
      <c r="AE61" s="51"/>
      <c r="AF61" s="51"/>
      <c r="AG61" s="51"/>
      <c r="AH61" s="22"/>
      <c r="AI61" s="22"/>
      <c r="AJ61" s="22"/>
      <c r="AK61" s="22"/>
      <c r="AL61" s="22"/>
      <c r="AM61" s="22"/>
      <c r="AN61" s="27"/>
      <c r="AO61" s="22"/>
      <c r="AP61" s="22"/>
      <c r="AQ61" s="22"/>
      <c r="AR61" s="22"/>
      <c r="AS61" s="22"/>
      <c r="AT61" s="22"/>
      <c r="AU61" s="22"/>
      <c r="AV61" s="3"/>
    </row>
    <row r="62" spans="3:48" ht="13.5" customHeight="1">
      <c r="C62" s="126" t="s">
        <v>39</v>
      </c>
      <c r="D62" s="127" t="s">
        <v>141</v>
      </c>
      <c r="E62" s="128" t="s">
        <v>87</v>
      </c>
      <c r="F62" s="128">
        <v>0</v>
      </c>
      <c r="G62" s="128">
        <v>154</v>
      </c>
      <c r="H62" s="128">
        <v>155</v>
      </c>
      <c r="I62" s="128">
        <v>161</v>
      </c>
      <c r="J62" s="128">
        <v>167</v>
      </c>
      <c r="K62" s="128">
        <v>157</v>
      </c>
      <c r="L62" s="128">
        <v>166</v>
      </c>
      <c r="M62" s="128">
        <v>167</v>
      </c>
      <c r="N62" s="128">
        <v>169</v>
      </c>
      <c r="O62" s="128">
        <v>155</v>
      </c>
      <c r="P62" s="128"/>
      <c r="Q62" s="129">
        <f t="shared" si="0"/>
        <v>1451</v>
      </c>
      <c r="R62" s="130">
        <f t="shared" si="1"/>
        <v>0</v>
      </c>
      <c r="S62" s="131">
        <f>Q62/8</f>
        <v>181.375</v>
      </c>
      <c r="T62" s="132">
        <f t="shared" si="2"/>
        <v>1451</v>
      </c>
      <c r="U62" s="19"/>
      <c r="V62" s="19"/>
      <c r="W62" s="19"/>
      <c r="X62" s="19"/>
      <c r="Y62" s="14"/>
      <c r="Z62" s="20"/>
      <c r="AA62" s="50"/>
      <c r="AB62" s="50"/>
      <c r="AC62" s="51"/>
      <c r="AD62" s="50"/>
      <c r="AE62" s="51"/>
      <c r="AF62" s="50"/>
      <c r="AG62" s="50"/>
      <c r="AH62" s="22"/>
      <c r="AI62" s="22"/>
      <c r="AJ62" s="22"/>
      <c r="AK62" s="22"/>
      <c r="AL62" s="22"/>
      <c r="AM62" s="22"/>
      <c r="AN62" s="27"/>
      <c r="AO62" s="22"/>
      <c r="AP62" s="22"/>
      <c r="AQ62" s="22"/>
      <c r="AR62" s="22"/>
      <c r="AS62" s="22"/>
      <c r="AT62" s="22"/>
      <c r="AU62" s="22"/>
      <c r="AV62" s="3"/>
    </row>
    <row r="63" spans="3:48" ht="13.5" customHeight="1">
      <c r="C63" s="94" t="s">
        <v>40</v>
      </c>
      <c r="D63" s="77" t="s">
        <v>83</v>
      </c>
      <c r="E63" s="45" t="s">
        <v>135</v>
      </c>
      <c r="F63" s="45">
        <v>156</v>
      </c>
      <c r="G63" s="45">
        <v>154</v>
      </c>
      <c r="H63" s="45">
        <v>162</v>
      </c>
      <c r="I63" s="45">
        <v>159</v>
      </c>
      <c r="J63" s="45">
        <v>171</v>
      </c>
      <c r="K63" s="45">
        <v>149</v>
      </c>
      <c r="L63" s="45">
        <v>163</v>
      </c>
      <c r="M63" s="45">
        <v>0</v>
      </c>
      <c r="N63" s="45">
        <v>153</v>
      </c>
      <c r="O63" s="45">
        <v>165</v>
      </c>
      <c r="P63" s="45"/>
      <c r="Q63" s="81">
        <f t="shared" si="0"/>
        <v>1432</v>
      </c>
      <c r="R63" s="43">
        <f t="shared" si="1"/>
        <v>0</v>
      </c>
      <c r="S63" s="44">
        <f>Q63/8</f>
        <v>179</v>
      </c>
      <c r="T63" s="95">
        <f t="shared" si="2"/>
        <v>1432</v>
      </c>
      <c r="U63" s="19"/>
      <c r="V63" s="19"/>
      <c r="W63" s="19"/>
      <c r="X63" s="19"/>
      <c r="Y63" s="14"/>
      <c r="Z63" s="20"/>
      <c r="AA63" s="50"/>
      <c r="AB63" s="50"/>
      <c r="AC63" s="51"/>
      <c r="AD63" s="50"/>
      <c r="AE63" s="51"/>
      <c r="AF63" s="50"/>
      <c r="AG63" s="50"/>
      <c r="AH63" s="22"/>
      <c r="AI63" s="22"/>
      <c r="AJ63" s="22"/>
      <c r="AK63" s="22"/>
      <c r="AL63" s="22"/>
      <c r="AM63" s="22"/>
      <c r="AN63" s="27"/>
      <c r="AO63" s="28"/>
      <c r="AP63" s="28"/>
      <c r="AQ63" s="28"/>
      <c r="AR63" s="28"/>
      <c r="AS63" s="28"/>
      <c r="AT63" s="28"/>
      <c r="AU63" s="28"/>
      <c r="AV63" s="3"/>
    </row>
    <row r="64" spans="3:48" ht="13.5" customHeight="1">
      <c r="C64" s="126" t="s">
        <v>41</v>
      </c>
      <c r="D64" s="127" t="s">
        <v>127</v>
      </c>
      <c r="E64" s="128" t="s">
        <v>106</v>
      </c>
      <c r="F64" s="128">
        <v>157</v>
      </c>
      <c r="G64" s="128">
        <v>163</v>
      </c>
      <c r="H64" s="128">
        <v>157</v>
      </c>
      <c r="I64" s="128">
        <v>157</v>
      </c>
      <c r="J64" s="128">
        <v>149</v>
      </c>
      <c r="K64" s="128">
        <v>154</v>
      </c>
      <c r="L64" s="128">
        <v>162</v>
      </c>
      <c r="M64" s="128">
        <v>158</v>
      </c>
      <c r="N64" s="128">
        <v>163</v>
      </c>
      <c r="O64" s="128">
        <v>153</v>
      </c>
      <c r="P64" s="128"/>
      <c r="Q64" s="129">
        <f t="shared" si="0"/>
        <v>1573</v>
      </c>
      <c r="R64" s="130">
        <f t="shared" si="1"/>
        <v>149</v>
      </c>
      <c r="S64" s="131">
        <f>Q64/9</f>
        <v>174.77777777777777</v>
      </c>
      <c r="T64" s="132">
        <f t="shared" si="2"/>
        <v>1424</v>
      </c>
      <c r="U64" s="19"/>
      <c r="V64" s="19"/>
      <c r="W64" s="19"/>
      <c r="X64" s="19"/>
      <c r="Y64" s="14"/>
      <c r="Z64" s="20"/>
      <c r="AA64" s="50"/>
      <c r="AB64" s="50"/>
      <c r="AC64" s="51"/>
      <c r="AD64" s="50"/>
      <c r="AE64" s="51"/>
      <c r="AF64" s="50"/>
      <c r="AG64" s="50"/>
      <c r="AH64" s="22"/>
      <c r="AI64" s="28"/>
      <c r="AJ64" s="28"/>
      <c r="AK64" s="28"/>
      <c r="AL64" s="28"/>
      <c r="AM64" s="28"/>
      <c r="AN64" s="27"/>
      <c r="AO64" s="21"/>
      <c r="AP64" s="21"/>
      <c r="AQ64" s="21"/>
      <c r="AR64" s="21"/>
      <c r="AS64" s="21"/>
      <c r="AT64" s="21"/>
      <c r="AU64" s="21"/>
      <c r="AV64" s="3"/>
    </row>
    <row r="65" spans="3:48" ht="13.5" customHeight="1">
      <c r="C65" s="94" t="s">
        <v>42</v>
      </c>
      <c r="D65" s="41" t="s">
        <v>118</v>
      </c>
      <c r="E65" s="42" t="s">
        <v>107</v>
      </c>
      <c r="F65" s="42">
        <v>164</v>
      </c>
      <c r="G65" s="42">
        <v>152</v>
      </c>
      <c r="H65" s="42">
        <v>153</v>
      </c>
      <c r="I65" s="42">
        <v>160</v>
      </c>
      <c r="J65" s="42">
        <v>161</v>
      </c>
      <c r="K65" s="42">
        <v>148</v>
      </c>
      <c r="L65" s="42">
        <v>155</v>
      </c>
      <c r="M65" s="42">
        <v>156</v>
      </c>
      <c r="N65" s="42">
        <v>158</v>
      </c>
      <c r="O65" s="42">
        <v>164</v>
      </c>
      <c r="P65" s="42"/>
      <c r="Q65" s="81">
        <f t="shared" si="0"/>
        <v>1571</v>
      </c>
      <c r="R65" s="43">
        <f t="shared" si="1"/>
        <v>148</v>
      </c>
      <c r="S65" s="44">
        <f>AVERAGE(F65:P65)</f>
        <v>157.1</v>
      </c>
      <c r="T65" s="95">
        <f t="shared" si="2"/>
        <v>1423</v>
      </c>
      <c r="U65" s="19"/>
      <c r="V65" s="19"/>
      <c r="W65" s="19"/>
      <c r="X65" s="19"/>
      <c r="Y65" s="14"/>
      <c r="Z65" s="20"/>
      <c r="AA65" s="50"/>
      <c r="AB65" s="50"/>
      <c r="AC65" s="51"/>
      <c r="AD65" s="50"/>
      <c r="AE65" s="51"/>
      <c r="AF65" s="50"/>
      <c r="AG65" s="50"/>
      <c r="AH65" s="28"/>
      <c r="AI65" s="28"/>
      <c r="AJ65" s="28"/>
      <c r="AK65" s="28"/>
      <c r="AL65" s="28"/>
      <c r="AM65" s="28"/>
      <c r="AN65" s="27"/>
      <c r="AO65" s="22"/>
      <c r="AP65" s="22"/>
      <c r="AQ65" s="22"/>
      <c r="AR65" s="22"/>
      <c r="AS65" s="22"/>
      <c r="AT65" s="22"/>
      <c r="AU65" s="22"/>
      <c r="AV65" s="3"/>
    </row>
    <row r="66" spans="3:48" ht="13.5" customHeight="1">
      <c r="C66" s="126" t="s">
        <v>43</v>
      </c>
      <c r="D66" s="127" t="s">
        <v>62</v>
      </c>
      <c r="E66" s="128" t="s">
        <v>50</v>
      </c>
      <c r="F66" s="128">
        <v>146</v>
      </c>
      <c r="G66" s="128">
        <v>146</v>
      </c>
      <c r="H66" s="128">
        <v>158</v>
      </c>
      <c r="I66" s="128">
        <v>159</v>
      </c>
      <c r="J66" s="128">
        <v>162</v>
      </c>
      <c r="K66" s="128">
        <v>130</v>
      </c>
      <c r="L66" s="128">
        <v>158</v>
      </c>
      <c r="M66" s="128">
        <v>160</v>
      </c>
      <c r="N66" s="128">
        <v>161</v>
      </c>
      <c r="O66" s="128">
        <v>156</v>
      </c>
      <c r="P66" s="128"/>
      <c r="Q66" s="129">
        <f t="shared" si="0"/>
        <v>1536</v>
      </c>
      <c r="R66" s="130">
        <f t="shared" si="1"/>
        <v>130</v>
      </c>
      <c r="S66" s="131">
        <f>AVERAGE(F66:P66)</f>
        <v>153.6</v>
      </c>
      <c r="T66" s="132">
        <f t="shared" si="2"/>
        <v>1406</v>
      </c>
      <c r="U66" s="19"/>
      <c r="V66" s="19"/>
      <c r="W66" s="19"/>
      <c r="X66" s="19"/>
      <c r="Y66" s="14"/>
      <c r="Z66" s="20"/>
      <c r="AA66" s="25"/>
      <c r="AB66" s="9"/>
      <c r="AC66" s="23"/>
      <c r="AD66" s="23"/>
      <c r="AE66" s="23"/>
      <c r="AF66" s="23"/>
      <c r="AH66" s="28"/>
      <c r="AJ66" s="26"/>
      <c r="AN66" s="27"/>
      <c r="AO66" s="22"/>
      <c r="AP66" s="22"/>
      <c r="AQ66" s="22"/>
      <c r="AR66" s="22"/>
      <c r="AS66" s="22"/>
      <c r="AT66" s="22"/>
      <c r="AU66" s="22"/>
      <c r="AV66" s="3"/>
    </row>
    <row r="67" spans="3:48" ht="13.5" customHeight="1">
      <c r="C67" s="94" t="s">
        <v>45</v>
      </c>
      <c r="D67" s="41" t="s">
        <v>130</v>
      </c>
      <c r="E67" s="42" t="s">
        <v>102</v>
      </c>
      <c r="F67" s="42">
        <v>136</v>
      </c>
      <c r="G67" s="42">
        <v>159</v>
      </c>
      <c r="H67" s="42">
        <v>171</v>
      </c>
      <c r="I67" s="42">
        <v>143</v>
      </c>
      <c r="J67" s="42">
        <v>163</v>
      </c>
      <c r="K67" s="42">
        <v>138</v>
      </c>
      <c r="L67" s="42">
        <v>148</v>
      </c>
      <c r="M67" s="42">
        <v>155</v>
      </c>
      <c r="N67" s="42">
        <v>143</v>
      </c>
      <c r="O67" s="42">
        <v>160</v>
      </c>
      <c r="P67" s="42"/>
      <c r="Q67" s="81">
        <f t="shared" si="0"/>
        <v>1516</v>
      </c>
      <c r="R67" s="43">
        <f t="shared" si="1"/>
        <v>136</v>
      </c>
      <c r="S67" s="44">
        <f>AVERAGE(F67:P67)</f>
        <v>151.6</v>
      </c>
      <c r="T67" s="95">
        <f t="shared" si="2"/>
        <v>1380</v>
      </c>
      <c r="U67" s="19"/>
      <c r="V67" s="19"/>
      <c r="W67" s="19"/>
      <c r="X67" s="19"/>
      <c r="Y67" s="14"/>
      <c r="Z67" s="20"/>
      <c r="AA67" s="51"/>
      <c r="AB67" s="51"/>
      <c r="AC67" s="51"/>
      <c r="AD67" s="51"/>
      <c r="AE67" s="51"/>
      <c r="AF67" s="51"/>
      <c r="AG67" s="51"/>
      <c r="AJ67" s="26"/>
      <c r="AN67" s="27"/>
      <c r="AO67" s="22"/>
      <c r="AP67" s="22"/>
      <c r="AQ67" s="22"/>
      <c r="AR67" s="22"/>
      <c r="AS67" s="22"/>
      <c r="AT67" s="22"/>
      <c r="AU67" s="22"/>
      <c r="AV67" s="3"/>
    </row>
    <row r="68" spans="3:48" ht="13.5" customHeight="1">
      <c r="C68" s="126" t="s">
        <v>46</v>
      </c>
      <c r="D68" s="127" t="s">
        <v>132</v>
      </c>
      <c r="E68" s="128" t="s">
        <v>103</v>
      </c>
      <c r="F68" s="128">
        <v>143</v>
      </c>
      <c r="G68" s="128">
        <v>148</v>
      </c>
      <c r="H68" s="128">
        <v>150</v>
      </c>
      <c r="I68" s="128">
        <v>156</v>
      </c>
      <c r="J68" s="128">
        <v>160</v>
      </c>
      <c r="K68" s="128">
        <v>148</v>
      </c>
      <c r="L68" s="128">
        <v>141</v>
      </c>
      <c r="M68" s="128">
        <v>145</v>
      </c>
      <c r="N68" s="128">
        <v>156</v>
      </c>
      <c r="O68" s="128">
        <v>155</v>
      </c>
      <c r="P68" s="128"/>
      <c r="Q68" s="129">
        <f t="shared" si="0"/>
        <v>1502</v>
      </c>
      <c r="R68" s="130">
        <f t="shared" si="1"/>
        <v>141</v>
      </c>
      <c r="S68" s="131">
        <f>AVERAGE(F68:P68)</f>
        <v>150.2</v>
      </c>
      <c r="T68" s="132">
        <f t="shared" si="2"/>
        <v>1361</v>
      </c>
      <c r="U68" s="19"/>
      <c r="V68" s="19"/>
      <c r="W68" s="19"/>
      <c r="X68" s="19"/>
      <c r="Y68" s="14"/>
      <c r="Z68" s="20"/>
      <c r="AA68" s="50"/>
      <c r="AB68" s="50"/>
      <c r="AC68" s="50"/>
      <c r="AD68" s="50"/>
      <c r="AE68" s="50"/>
      <c r="AF68" s="50"/>
      <c r="AG68" s="50"/>
      <c r="AJ68" s="26"/>
      <c r="AN68" s="27"/>
      <c r="AO68" s="22"/>
      <c r="AP68" s="22"/>
      <c r="AQ68" s="22"/>
      <c r="AR68" s="22"/>
      <c r="AS68" s="22"/>
      <c r="AT68" s="22"/>
      <c r="AU68" s="22"/>
      <c r="AV68" s="3"/>
    </row>
    <row r="69" spans="3:48" ht="13.5" customHeight="1">
      <c r="C69" s="94" t="s">
        <v>47</v>
      </c>
      <c r="D69" s="41" t="s">
        <v>52</v>
      </c>
      <c r="E69" s="42" t="s">
        <v>58</v>
      </c>
      <c r="F69" s="42">
        <v>165</v>
      </c>
      <c r="G69" s="42">
        <v>159</v>
      </c>
      <c r="H69" s="42">
        <v>157</v>
      </c>
      <c r="I69" s="42">
        <v>173</v>
      </c>
      <c r="J69" s="42">
        <v>167</v>
      </c>
      <c r="K69" s="42">
        <v>178</v>
      </c>
      <c r="L69" s="42">
        <v>170</v>
      </c>
      <c r="M69" s="42">
        <v>0</v>
      </c>
      <c r="N69" s="42">
        <v>171</v>
      </c>
      <c r="O69" s="42">
        <v>0</v>
      </c>
      <c r="P69" s="42"/>
      <c r="Q69" s="81">
        <f t="shared" si="0"/>
        <v>1340</v>
      </c>
      <c r="R69" s="43">
        <f t="shared" si="1"/>
        <v>0</v>
      </c>
      <c r="S69" s="44">
        <f>Q69/8</f>
        <v>167.5</v>
      </c>
      <c r="T69" s="95">
        <f t="shared" si="2"/>
        <v>1340</v>
      </c>
      <c r="U69" s="19"/>
      <c r="V69" s="19"/>
      <c r="W69" s="19"/>
      <c r="X69" s="19"/>
      <c r="Y69" s="14"/>
      <c r="Z69" s="20"/>
      <c r="AA69" s="50"/>
      <c r="AB69" s="50"/>
      <c r="AC69" s="50"/>
      <c r="AD69" s="50"/>
      <c r="AE69" s="50"/>
      <c r="AF69" s="50"/>
      <c r="AG69" s="50"/>
      <c r="AI69" s="28"/>
      <c r="AJ69" s="28"/>
      <c r="AK69" s="28"/>
      <c r="AL69" s="28"/>
      <c r="AM69" s="28"/>
      <c r="AN69" s="27"/>
      <c r="AO69" s="22"/>
      <c r="AP69" s="22"/>
      <c r="AQ69" s="22"/>
      <c r="AR69" s="22"/>
      <c r="AS69" s="22"/>
      <c r="AT69" s="22"/>
      <c r="AU69" s="22"/>
      <c r="AV69" s="3"/>
    </row>
    <row r="70" spans="3:48" ht="13.5" customHeight="1">
      <c r="C70" s="126" t="s">
        <v>48</v>
      </c>
      <c r="D70" s="127" t="s">
        <v>68</v>
      </c>
      <c r="E70" s="128" t="s">
        <v>50</v>
      </c>
      <c r="F70" s="128">
        <v>151</v>
      </c>
      <c r="G70" s="128">
        <v>145</v>
      </c>
      <c r="H70" s="128">
        <v>142</v>
      </c>
      <c r="I70" s="128">
        <v>153</v>
      </c>
      <c r="J70" s="128">
        <v>137</v>
      </c>
      <c r="K70" s="128">
        <v>144</v>
      </c>
      <c r="L70" s="128">
        <v>147</v>
      </c>
      <c r="M70" s="128">
        <v>144</v>
      </c>
      <c r="N70" s="128">
        <v>150</v>
      </c>
      <c r="O70" s="128">
        <v>0</v>
      </c>
      <c r="P70" s="128"/>
      <c r="Q70" s="129">
        <f aca="true" t="shared" si="3" ref="Q70:Q87">F70+G70+H70+I70+J70+K70+L70+M70+N70+O70+P70</f>
        <v>1313</v>
      </c>
      <c r="R70" s="130">
        <f aca="true" t="shared" si="4" ref="R70:R87">MIN(F70:Q70)</f>
        <v>0</v>
      </c>
      <c r="S70" s="131">
        <f>AVERAGE(F70:P70)</f>
        <v>131.3</v>
      </c>
      <c r="T70" s="132">
        <f aca="true" t="shared" si="5" ref="T70:T87">Q70-R70</f>
        <v>1313</v>
      </c>
      <c r="U70" s="19"/>
      <c r="V70" s="19"/>
      <c r="W70" s="19"/>
      <c r="X70" s="19"/>
      <c r="Y70" s="14"/>
      <c r="Z70" s="20"/>
      <c r="AA70" s="50"/>
      <c r="AB70" s="50"/>
      <c r="AC70" s="50"/>
      <c r="AD70" s="50"/>
      <c r="AE70" s="50"/>
      <c r="AF70" s="50"/>
      <c r="AG70" s="50"/>
      <c r="AH70" s="28"/>
      <c r="AI70" s="28"/>
      <c r="AJ70" s="28"/>
      <c r="AK70" s="28"/>
      <c r="AL70" s="28"/>
      <c r="AM70" s="28"/>
      <c r="AN70" s="23"/>
      <c r="AR70" s="26"/>
      <c r="AS70" s="26"/>
      <c r="AT70" s="26"/>
      <c r="AU70" s="26"/>
      <c r="AV70" s="3"/>
    </row>
    <row r="71" spans="3:48" ht="13.5" customHeight="1">
      <c r="C71" s="94" t="s">
        <v>89</v>
      </c>
      <c r="D71" s="41" t="s">
        <v>124</v>
      </c>
      <c r="E71" s="42" t="s">
        <v>135</v>
      </c>
      <c r="F71" s="42">
        <v>159</v>
      </c>
      <c r="G71" s="42">
        <v>168</v>
      </c>
      <c r="H71" s="42">
        <v>166</v>
      </c>
      <c r="I71" s="42">
        <v>0</v>
      </c>
      <c r="J71" s="42">
        <v>170</v>
      </c>
      <c r="K71" s="42">
        <v>154</v>
      </c>
      <c r="L71" s="42">
        <v>165</v>
      </c>
      <c r="M71" s="42">
        <v>154</v>
      </c>
      <c r="N71" s="42">
        <v>0</v>
      </c>
      <c r="O71" s="42">
        <v>173</v>
      </c>
      <c r="P71" s="42"/>
      <c r="Q71" s="81">
        <f t="shared" si="3"/>
        <v>1309</v>
      </c>
      <c r="R71" s="43">
        <f t="shared" si="4"/>
        <v>0</v>
      </c>
      <c r="S71" s="44">
        <f aca="true" t="shared" si="6" ref="S71:S78">Q71/7</f>
        <v>187</v>
      </c>
      <c r="T71" s="95">
        <f t="shared" si="5"/>
        <v>1309</v>
      </c>
      <c r="U71" s="19"/>
      <c r="V71" s="19"/>
      <c r="W71" s="19"/>
      <c r="X71" s="19"/>
      <c r="Y71" s="14"/>
      <c r="Z71" s="20"/>
      <c r="AA71" s="50"/>
      <c r="AB71" s="50"/>
      <c r="AC71" s="50"/>
      <c r="AD71" s="50"/>
      <c r="AE71" s="50"/>
      <c r="AF71" s="50"/>
      <c r="AG71" s="50"/>
      <c r="AH71" s="28"/>
      <c r="AJ71" s="26"/>
      <c r="AN71" s="23"/>
      <c r="AR71" s="26"/>
      <c r="AS71" s="26"/>
      <c r="AT71" s="26"/>
      <c r="AU71" s="26"/>
      <c r="AV71" s="3"/>
    </row>
    <row r="72" spans="3:48" ht="13.5" customHeight="1">
      <c r="C72" s="126" t="s">
        <v>91</v>
      </c>
      <c r="D72" s="134" t="s">
        <v>73</v>
      </c>
      <c r="E72" s="128" t="s">
        <v>103</v>
      </c>
      <c r="F72" s="133">
        <v>161</v>
      </c>
      <c r="G72" s="128">
        <v>161</v>
      </c>
      <c r="H72" s="128">
        <v>0</v>
      </c>
      <c r="I72" s="128">
        <v>160</v>
      </c>
      <c r="J72" s="128">
        <v>167</v>
      </c>
      <c r="K72" s="128">
        <v>162</v>
      </c>
      <c r="L72" s="128">
        <v>0</v>
      </c>
      <c r="M72" s="128">
        <v>161</v>
      </c>
      <c r="N72" s="128">
        <v>163</v>
      </c>
      <c r="O72" s="128">
        <v>154</v>
      </c>
      <c r="P72" s="128"/>
      <c r="Q72" s="129">
        <f t="shared" si="3"/>
        <v>1289</v>
      </c>
      <c r="R72" s="130">
        <f t="shared" si="4"/>
        <v>0</v>
      </c>
      <c r="S72" s="131">
        <f t="shared" si="6"/>
        <v>184.14285714285714</v>
      </c>
      <c r="T72" s="132">
        <f t="shared" si="5"/>
        <v>1289</v>
      </c>
      <c r="U72" s="19"/>
      <c r="V72" s="19"/>
      <c r="W72" s="19"/>
      <c r="X72" s="19"/>
      <c r="Y72" s="14"/>
      <c r="Z72" s="20"/>
      <c r="AA72" s="25"/>
      <c r="AB72" s="9"/>
      <c r="AC72" s="23"/>
      <c r="AD72" s="23"/>
      <c r="AE72" s="23"/>
      <c r="AF72" s="23"/>
      <c r="AH72" s="28"/>
      <c r="AJ72" s="26"/>
      <c r="AN72" s="23"/>
      <c r="AR72" s="26"/>
      <c r="AS72" s="26"/>
      <c r="AT72" s="26"/>
      <c r="AU72" s="26"/>
      <c r="AV72" s="3"/>
    </row>
    <row r="73" spans="3:48" ht="13.5" customHeight="1">
      <c r="C73" s="94" t="s">
        <v>92</v>
      </c>
      <c r="D73" s="41" t="s">
        <v>126</v>
      </c>
      <c r="E73" s="42" t="s">
        <v>59</v>
      </c>
      <c r="F73" s="42">
        <v>156</v>
      </c>
      <c r="G73" s="42">
        <v>165</v>
      </c>
      <c r="H73" s="42">
        <v>157</v>
      </c>
      <c r="I73" s="42">
        <v>151</v>
      </c>
      <c r="J73" s="42">
        <v>162</v>
      </c>
      <c r="K73" s="42">
        <v>156</v>
      </c>
      <c r="L73" s="42">
        <v>167</v>
      </c>
      <c r="M73" s="42">
        <v>0</v>
      </c>
      <c r="N73" s="42">
        <v>0</v>
      </c>
      <c r="O73" s="42">
        <v>157</v>
      </c>
      <c r="P73" s="42"/>
      <c r="Q73" s="81">
        <f t="shared" si="3"/>
        <v>1271</v>
      </c>
      <c r="R73" s="43">
        <f t="shared" si="4"/>
        <v>0</v>
      </c>
      <c r="S73" s="44">
        <f t="shared" si="6"/>
        <v>181.57142857142858</v>
      </c>
      <c r="T73" s="95">
        <f t="shared" si="5"/>
        <v>1271</v>
      </c>
      <c r="U73" s="19"/>
      <c r="V73" s="19"/>
      <c r="W73" s="19"/>
      <c r="X73" s="19"/>
      <c r="Y73" s="14"/>
      <c r="Z73" s="20"/>
      <c r="AA73" s="25"/>
      <c r="AB73" s="9"/>
      <c r="AC73" s="23"/>
      <c r="AD73" s="23"/>
      <c r="AE73" s="23"/>
      <c r="AF73" s="23"/>
      <c r="AH73" s="28"/>
      <c r="AJ73" s="26"/>
      <c r="AN73" s="23"/>
      <c r="AR73" s="26"/>
      <c r="AS73" s="26"/>
      <c r="AT73" s="26"/>
      <c r="AU73" s="26"/>
      <c r="AV73" s="3"/>
    </row>
    <row r="74" spans="3:48" ht="13.5" customHeight="1">
      <c r="C74" s="126" t="s">
        <v>93</v>
      </c>
      <c r="D74" s="127" t="s">
        <v>78</v>
      </c>
      <c r="E74" s="128" t="s">
        <v>102</v>
      </c>
      <c r="F74" s="128">
        <v>162</v>
      </c>
      <c r="G74" s="133">
        <v>172</v>
      </c>
      <c r="H74" s="133">
        <v>154</v>
      </c>
      <c r="I74" s="133">
        <v>155</v>
      </c>
      <c r="J74" s="133">
        <v>158</v>
      </c>
      <c r="K74" s="133">
        <v>0</v>
      </c>
      <c r="L74" s="133">
        <v>0</v>
      </c>
      <c r="M74" s="133">
        <v>149</v>
      </c>
      <c r="N74" s="133">
        <v>155</v>
      </c>
      <c r="O74" s="133">
        <v>154</v>
      </c>
      <c r="P74" s="133"/>
      <c r="Q74" s="129">
        <f t="shared" si="3"/>
        <v>1259</v>
      </c>
      <c r="R74" s="130">
        <f t="shared" si="4"/>
        <v>0</v>
      </c>
      <c r="S74" s="131">
        <f t="shared" si="6"/>
        <v>179.85714285714286</v>
      </c>
      <c r="T74" s="132">
        <f t="shared" si="5"/>
        <v>1259</v>
      </c>
      <c r="U74" s="19"/>
      <c r="V74" s="19"/>
      <c r="W74" s="19"/>
      <c r="X74" s="19"/>
      <c r="Y74" s="14"/>
      <c r="Z74" s="49"/>
      <c r="AA74" s="49"/>
      <c r="AB74" s="9"/>
      <c r="AC74" s="23"/>
      <c r="AD74" s="52"/>
      <c r="AE74" s="53"/>
      <c r="AF74" s="39"/>
      <c r="AH74" s="28"/>
      <c r="AJ74" s="26"/>
      <c r="AN74" s="23"/>
      <c r="AR74" s="26"/>
      <c r="AS74" s="26"/>
      <c r="AT74" s="26"/>
      <c r="AU74" s="26"/>
      <c r="AV74" s="3"/>
    </row>
    <row r="75" spans="3:48" ht="13.5" customHeight="1">
      <c r="C75" s="94" t="s">
        <v>95</v>
      </c>
      <c r="D75" s="41" t="s">
        <v>117</v>
      </c>
      <c r="E75" s="42" t="s">
        <v>102</v>
      </c>
      <c r="F75" s="42">
        <v>167</v>
      </c>
      <c r="G75" s="42">
        <v>152</v>
      </c>
      <c r="H75" s="42">
        <v>159</v>
      </c>
      <c r="I75" s="42">
        <v>158</v>
      </c>
      <c r="J75" s="42">
        <v>154</v>
      </c>
      <c r="K75" s="42">
        <v>155</v>
      </c>
      <c r="L75" s="42">
        <v>147</v>
      </c>
      <c r="M75" s="42">
        <v>0</v>
      </c>
      <c r="N75" s="42">
        <v>0</v>
      </c>
      <c r="O75" s="42">
        <v>142</v>
      </c>
      <c r="P75" s="42"/>
      <c r="Q75" s="81">
        <f t="shared" si="3"/>
        <v>1234</v>
      </c>
      <c r="R75" s="43">
        <f t="shared" si="4"/>
        <v>0</v>
      </c>
      <c r="S75" s="44">
        <f t="shared" si="6"/>
        <v>176.28571428571428</v>
      </c>
      <c r="T75" s="95">
        <f t="shared" si="5"/>
        <v>1234</v>
      </c>
      <c r="U75" s="19"/>
      <c r="V75" s="19"/>
      <c r="W75" s="19"/>
      <c r="X75" s="19"/>
      <c r="Y75" s="14"/>
      <c r="Z75" s="49"/>
      <c r="AA75" s="49"/>
      <c r="AB75" s="9"/>
      <c r="AC75" s="23"/>
      <c r="AD75" s="52"/>
      <c r="AE75" s="53"/>
      <c r="AF75" s="39"/>
      <c r="AJ75" s="26"/>
      <c r="AN75" s="23"/>
      <c r="AR75" s="26"/>
      <c r="AS75" s="26"/>
      <c r="AT75" s="26"/>
      <c r="AU75" s="26"/>
      <c r="AV75" s="3"/>
    </row>
    <row r="76" spans="3:48" ht="13.5" customHeight="1">
      <c r="C76" s="126" t="s">
        <v>110</v>
      </c>
      <c r="D76" s="127" t="s">
        <v>84</v>
      </c>
      <c r="E76" s="128" t="s">
        <v>102</v>
      </c>
      <c r="F76" s="128">
        <v>142</v>
      </c>
      <c r="G76" s="128">
        <v>136</v>
      </c>
      <c r="H76" s="128">
        <v>128</v>
      </c>
      <c r="I76" s="128">
        <v>128</v>
      </c>
      <c r="J76" s="128">
        <v>128</v>
      </c>
      <c r="K76" s="128">
        <v>126</v>
      </c>
      <c r="L76" s="128">
        <v>146</v>
      </c>
      <c r="M76" s="128">
        <v>137</v>
      </c>
      <c r="N76" s="128">
        <v>140</v>
      </c>
      <c r="O76" s="128">
        <v>136</v>
      </c>
      <c r="P76" s="128"/>
      <c r="Q76" s="129">
        <f t="shared" si="3"/>
        <v>1347</v>
      </c>
      <c r="R76" s="130">
        <f t="shared" si="4"/>
        <v>126</v>
      </c>
      <c r="S76" s="131">
        <f>AVERAGE(F76:P76)</f>
        <v>134.7</v>
      </c>
      <c r="T76" s="132">
        <f t="shared" si="5"/>
        <v>1221</v>
      </c>
      <c r="U76" s="19"/>
      <c r="V76" s="19"/>
      <c r="W76" s="19"/>
      <c r="X76" s="19"/>
      <c r="Y76" s="14"/>
      <c r="Z76" s="49"/>
      <c r="AA76" s="49"/>
      <c r="AB76" s="50"/>
      <c r="AC76" s="50"/>
      <c r="AD76" s="52"/>
      <c r="AE76" s="53"/>
      <c r="AF76" s="39"/>
      <c r="AG76" s="50"/>
      <c r="AJ76" s="26"/>
      <c r="AN76" s="23"/>
      <c r="AR76" s="26"/>
      <c r="AS76" s="26"/>
      <c r="AT76" s="26"/>
      <c r="AU76" s="26"/>
      <c r="AV76" s="3"/>
    </row>
    <row r="77" spans="3:48" ht="13.5" customHeight="1">
      <c r="C77" s="94" t="s">
        <v>111</v>
      </c>
      <c r="D77" s="41" t="s">
        <v>66</v>
      </c>
      <c r="E77" s="42" t="s">
        <v>87</v>
      </c>
      <c r="F77" s="42">
        <v>175</v>
      </c>
      <c r="G77" s="42">
        <v>0</v>
      </c>
      <c r="H77" s="42">
        <v>162</v>
      </c>
      <c r="I77" s="42">
        <v>178</v>
      </c>
      <c r="J77" s="42">
        <v>171</v>
      </c>
      <c r="K77" s="42">
        <v>168</v>
      </c>
      <c r="L77" s="42">
        <v>0</v>
      </c>
      <c r="M77" s="42">
        <v>171</v>
      </c>
      <c r="N77" s="42">
        <v>172</v>
      </c>
      <c r="O77" s="42">
        <v>0</v>
      </c>
      <c r="P77" s="42"/>
      <c r="Q77" s="81">
        <f t="shared" si="3"/>
        <v>1197</v>
      </c>
      <c r="R77" s="43">
        <f t="shared" si="4"/>
        <v>0</v>
      </c>
      <c r="S77" s="44">
        <f>Q77/7</f>
        <v>171</v>
      </c>
      <c r="T77" s="95">
        <f t="shared" si="5"/>
        <v>1197</v>
      </c>
      <c r="U77" s="19"/>
      <c r="V77" s="19"/>
      <c r="W77" s="19"/>
      <c r="X77" s="19"/>
      <c r="Y77" s="14"/>
      <c r="Z77" s="49"/>
      <c r="AA77" s="49"/>
      <c r="AB77" s="50"/>
      <c r="AC77" s="50"/>
      <c r="AD77" s="52"/>
      <c r="AE77" s="53"/>
      <c r="AF77" s="39"/>
      <c r="AJ77" s="26"/>
      <c r="AN77" s="23"/>
      <c r="AR77" s="26"/>
      <c r="AS77" s="26"/>
      <c r="AT77" s="26"/>
      <c r="AU77" s="26"/>
      <c r="AV77" s="3"/>
    </row>
    <row r="78" spans="3:48" ht="13.5" customHeight="1">
      <c r="C78" s="126" t="s">
        <v>112</v>
      </c>
      <c r="D78" s="134" t="s">
        <v>51</v>
      </c>
      <c r="E78" s="128" t="s">
        <v>58</v>
      </c>
      <c r="F78" s="133">
        <v>168</v>
      </c>
      <c r="G78" s="128">
        <v>167</v>
      </c>
      <c r="H78" s="128">
        <v>157</v>
      </c>
      <c r="I78" s="128">
        <v>0</v>
      </c>
      <c r="J78" s="128">
        <v>167</v>
      </c>
      <c r="K78" s="128">
        <v>166</v>
      </c>
      <c r="L78" s="128">
        <v>169</v>
      </c>
      <c r="M78" s="128">
        <v>0</v>
      </c>
      <c r="N78" s="128">
        <v>168</v>
      </c>
      <c r="O78" s="128">
        <v>0</v>
      </c>
      <c r="P78" s="128"/>
      <c r="Q78" s="129">
        <f t="shared" si="3"/>
        <v>1162</v>
      </c>
      <c r="R78" s="130">
        <f t="shared" si="4"/>
        <v>0</v>
      </c>
      <c r="S78" s="131">
        <f t="shared" si="6"/>
        <v>166</v>
      </c>
      <c r="T78" s="132">
        <f t="shared" si="5"/>
        <v>1162</v>
      </c>
      <c r="U78" s="19"/>
      <c r="V78" s="19"/>
      <c r="W78" s="19"/>
      <c r="X78" s="19"/>
      <c r="Y78" s="14"/>
      <c r="Z78" s="49"/>
      <c r="AA78" s="49"/>
      <c r="AB78" s="9"/>
      <c r="AC78" s="23"/>
      <c r="AD78" s="52"/>
      <c r="AE78" s="53"/>
      <c r="AF78" s="39"/>
      <c r="AJ78" s="26"/>
      <c r="AN78" s="23"/>
      <c r="AR78" s="26"/>
      <c r="AS78" s="26"/>
      <c r="AT78" s="26"/>
      <c r="AU78" s="26"/>
      <c r="AV78" s="3"/>
    </row>
    <row r="79" spans="3:48" ht="13.5" customHeight="1">
      <c r="C79" s="94" t="s">
        <v>113</v>
      </c>
      <c r="D79" s="41" t="s">
        <v>116</v>
      </c>
      <c r="E79" s="42" t="s">
        <v>102</v>
      </c>
      <c r="F79" s="42">
        <v>168</v>
      </c>
      <c r="G79" s="42">
        <v>162</v>
      </c>
      <c r="H79" s="42">
        <v>161</v>
      </c>
      <c r="I79" s="42">
        <v>153</v>
      </c>
      <c r="J79" s="42">
        <v>0</v>
      </c>
      <c r="K79" s="42">
        <v>0</v>
      </c>
      <c r="L79" s="42">
        <v>0</v>
      </c>
      <c r="M79" s="42">
        <v>161</v>
      </c>
      <c r="N79" s="42">
        <v>166</v>
      </c>
      <c r="O79" s="42">
        <v>152</v>
      </c>
      <c r="P79" s="42"/>
      <c r="Q79" s="81">
        <f t="shared" si="3"/>
        <v>1123</v>
      </c>
      <c r="R79" s="43">
        <f t="shared" si="4"/>
        <v>0</v>
      </c>
      <c r="S79" s="44">
        <f>Q79/6</f>
        <v>187.16666666666666</v>
      </c>
      <c r="T79" s="95">
        <f t="shared" si="5"/>
        <v>1123</v>
      </c>
      <c r="U79" s="19"/>
      <c r="V79" s="19"/>
      <c r="W79" s="19"/>
      <c r="X79" s="19"/>
      <c r="Y79" s="14"/>
      <c r="Z79" s="49"/>
      <c r="AA79" s="49"/>
      <c r="AB79" s="9"/>
      <c r="AC79" s="23"/>
      <c r="AD79" s="23"/>
      <c r="AE79" s="23"/>
      <c r="AF79" s="23"/>
      <c r="AJ79" s="26"/>
      <c r="AN79" s="23"/>
      <c r="AR79" s="26"/>
      <c r="AS79" s="26"/>
      <c r="AT79" s="26"/>
      <c r="AU79" s="26"/>
      <c r="AV79" s="3"/>
    </row>
    <row r="80" spans="3:48" ht="13.5" customHeight="1">
      <c r="C80" s="126" t="s">
        <v>114</v>
      </c>
      <c r="D80" s="127" t="s">
        <v>140</v>
      </c>
      <c r="E80" s="128" t="s">
        <v>59</v>
      </c>
      <c r="F80" s="128">
        <v>0</v>
      </c>
      <c r="G80" s="128">
        <v>159</v>
      </c>
      <c r="H80" s="128">
        <v>0</v>
      </c>
      <c r="I80" s="128">
        <v>0</v>
      </c>
      <c r="J80" s="128">
        <v>172</v>
      </c>
      <c r="K80" s="128">
        <v>164</v>
      </c>
      <c r="L80" s="128">
        <v>172</v>
      </c>
      <c r="M80" s="128">
        <v>167</v>
      </c>
      <c r="N80" s="128">
        <v>0</v>
      </c>
      <c r="O80" s="128">
        <v>0</v>
      </c>
      <c r="P80" s="128"/>
      <c r="Q80" s="129">
        <f t="shared" si="3"/>
        <v>834</v>
      </c>
      <c r="R80" s="130">
        <f t="shared" si="4"/>
        <v>0</v>
      </c>
      <c r="S80" s="131">
        <f>Q80/5</f>
        <v>166.8</v>
      </c>
      <c r="T80" s="132">
        <f t="shared" si="5"/>
        <v>834</v>
      </c>
      <c r="U80" s="19"/>
      <c r="V80" s="19"/>
      <c r="W80" s="19"/>
      <c r="X80" s="19"/>
      <c r="Y80" s="14"/>
      <c r="Z80" s="24"/>
      <c r="AA80" s="25"/>
      <c r="AB80" s="9"/>
      <c r="AC80" s="23"/>
      <c r="AD80" s="23"/>
      <c r="AE80" s="23"/>
      <c r="AF80" s="23"/>
      <c r="AJ80" s="26"/>
      <c r="AN80" s="23"/>
      <c r="AR80" s="26"/>
      <c r="AS80" s="26"/>
      <c r="AT80" s="26"/>
      <c r="AU80" s="26"/>
      <c r="AV80" s="3"/>
    </row>
    <row r="81" spans="3:48" ht="13.5" customHeight="1">
      <c r="C81" s="94" t="s">
        <v>115</v>
      </c>
      <c r="D81" s="41" t="s">
        <v>76</v>
      </c>
      <c r="E81" s="42" t="s">
        <v>59</v>
      </c>
      <c r="F81" s="42">
        <v>175</v>
      </c>
      <c r="G81" s="42">
        <v>0</v>
      </c>
      <c r="H81" s="42">
        <v>160</v>
      </c>
      <c r="I81" s="42">
        <v>154</v>
      </c>
      <c r="J81" s="42">
        <v>158</v>
      </c>
      <c r="K81" s="42">
        <v>0</v>
      </c>
      <c r="L81" s="42">
        <v>0</v>
      </c>
      <c r="M81" s="42">
        <v>0</v>
      </c>
      <c r="N81" s="42">
        <v>158</v>
      </c>
      <c r="O81" s="42">
        <v>0</v>
      </c>
      <c r="P81" s="42"/>
      <c r="Q81" s="81">
        <f t="shared" si="3"/>
        <v>805</v>
      </c>
      <c r="R81" s="43">
        <f t="shared" si="4"/>
        <v>0</v>
      </c>
      <c r="S81" s="44">
        <f>Q81/5</f>
        <v>161</v>
      </c>
      <c r="T81" s="95">
        <f t="shared" si="5"/>
        <v>805</v>
      </c>
      <c r="U81" s="19"/>
      <c r="V81" s="19"/>
      <c r="W81" s="19"/>
      <c r="X81" s="19"/>
      <c r="Y81" s="14"/>
      <c r="Z81" s="24"/>
      <c r="AA81" s="25"/>
      <c r="AB81" s="33"/>
      <c r="AC81" s="33"/>
      <c r="AD81" s="33"/>
      <c r="AE81" s="23"/>
      <c r="AF81" s="23"/>
      <c r="AJ81" s="26"/>
      <c r="AN81" s="23"/>
      <c r="AR81" s="26"/>
      <c r="AS81" s="26"/>
      <c r="AT81" s="26"/>
      <c r="AU81" s="26"/>
      <c r="AV81" s="3"/>
    </row>
    <row r="82" spans="3:48" ht="13.5" customHeight="1">
      <c r="C82" s="126" t="s">
        <v>136</v>
      </c>
      <c r="D82" s="127" t="s">
        <v>55</v>
      </c>
      <c r="E82" s="128" t="s">
        <v>56</v>
      </c>
      <c r="F82" s="128">
        <v>159</v>
      </c>
      <c r="G82" s="135">
        <v>0</v>
      </c>
      <c r="H82" s="128">
        <v>152</v>
      </c>
      <c r="I82" s="128">
        <v>160</v>
      </c>
      <c r="J82" s="128">
        <v>162</v>
      </c>
      <c r="K82" s="128">
        <v>0</v>
      </c>
      <c r="L82" s="128">
        <v>0</v>
      </c>
      <c r="M82" s="128">
        <v>142</v>
      </c>
      <c r="N82" s="128">
        <v>0</v>
      </c>
      <c r="O82" s="128">
        <v>0</v>
      </c>
      <c r="P82" s="128"/>
      <c r="Q82" s="129">
        <f t="shared" si="3"/>
        <v>775</v>
      </c>
      <c r="R82" s="130">
        <f t="shared" si="4"/>
        <v>0</v>
      </c>
      <c r="S82" s="131">
        <f>Q82/5</f>
        <v>155</v>
      </c>
      <c r="T82" s="132">
        <f t="shared" si="5"/>
        <v>775</v>
      </c>
      <c r="U82" s="19"/>
      <c r="V82" s="19"/>
      <c r="W82" s="19"/>
      <c r="X82" s="19"/>
      <c r="Y82" s="14"/>
      <c r="Z82" s="24"/>
      <c r="AA82" s="25"/>
      <c r="AB82" s="9"/>
      <c r="AC82" s="23"/>
      <c r="AD82" s="23"/>
      <c r="AE82" s="23"/>
      <c r="AF82" s="23"/>
      <c r="AJ82" s="26"/>
      <c r="AN82" s="23"/>
      <c r="AR82" s="26"/>
      <c r="AS82" s="26"/>
      <c r="AT82" s="26"/>
      <c r="AU82" s="26"/>
      <c r="AV82" s="3"/>
    </row>
    <row r="83" spans="3:48" ht="13.5" customHeight="1">
      <c r="C83" s="94" t="s">
        <v>137</v>
      </c>
      <c r="D83" s="46" t="s">
        <v>53</v>
      </c>
      <c r="E83" s="42" t="s">
        <v>135</v>
      </c>
      <c r="F83" s="45">
        <v>172</v>
      </c>
      <c r="G83" s="42">
        <v>0</v>
      </c>
      <c r="H83" s="42">
        <v>186</v>
      </c>
      <c r="I83" s="42">
        <v>175</v>
      </c>
      <c r="J83" s="42">
        <v>171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/>
      <c r="Q83" s="81">
        <f t="shared" si="3"/>
        <v>704</v>
      </c>
      <c r="R83" s="43">
        <f t="shared" si="4"/>
        <v>0</v>
      </c>
      <c r="S83" s="44">
        <f>Q83/4</f>
        <v>176</v>
      </c>
      <c r="T83" s="95">
        <f t="shared" si="5"/>
        <v>704</v>
      </c>
      <c r="U83" s="19"/>
      <c r="V83" s="19"/>
      <c r="W83" s="19"/>
      <c r="X83" s="19"/>
      <c r="Y83" s="14"/>
      <c r="Z83" s="24"/>
      <c r="AA83" s="25"/>
      <c r="AB83" s="9"/>
      <c r="AC83" s="23"/>
      <c r="AD83" s="23"/>
      <c r="AE83" s="23"/>
      <c r="AF83" s="23"/>
      <c r="AJ83" s="26"/>
      <c r="AN83" s="23"/>
      <c r="AR83" s="26"/>
      <c r="AS83" s="26"/>
      <c r="AT83" s="26"/>
      <c r="AU83" s="26"/>
      <c r="AV83" s="3"/>
    </row>
    <row r="84" spans="3:48" ht="13.5" customHeight="1">
      <c r="C84" s="126" t="s">
        <v>138</v>
      </c>
      <c r="D84" s="127" t="s">
        <v>147</v>
      </c>
      <c r="E84" s="128" t="s">
        <v>59</v>
      </c>
      <c r="F84" s="128">
        <v>0</v>
      </c>
      <c r="G84" s="128">
        <v>0</v>
      </c>
      <c r="H84" s="128">
        <v>0</v>
      </c>
      <c r="I84" s="128">
        <v>0</v>
      </c>
      <c r="J84" s="128">
        <v>0</v>
      </c>
      <c r="K84" s="128">
        <v>164</v>
      </c>
      <c r="L84" s="128">
        <v>0</v>
      </c>
      <c r="M84" s="128">
        <v>148</v>
      </c>
      <c r="N84" s="128">
        <v>165</v>
      </c>
      <c r="O84" s="128">
        <v>166</v>
      </c>
      <c r="P84" s="128"/>
      <c r="Q84" s="129">
        <f t="shared" si="3"/>
        <v>643</v>
      </c>
      <c r="R84" s="130">
        <f t="shared" si="4"/>
        <v>0</v>
      </c>
      <c r="S84" s="131">
        <f>Q84/3</f>
        <v>214.33333333333334</v>
      </c>
      <c r="T84" s="132">
        <f t="shared" si="5"/>
        <v>643</v>
      </c>
      <c r="U84" s="19"/>
      <c r="V84" s="19"/>
      <c r="W84" s="19"/>
      <c r="X84" s="19"/>
      <c r="Z84" s="24"/>
      <c r="AA84" s="25"/>
      <c r="AB84" s="9"/>
      <c r="AC84" s="23"/>
      <c r="AD84" s="23"/>
      <c r="AE84" s="23"/>
      <c r="AF84" s="23"/>
      <c r="AJ84" s="26"/>
      <c r="AN84" s="23"/>
      <c r="AR84" s="26"/>
      <c r="AS84" s="26"/>
      <c r="AT84" s="26"/>
      <c r="AU84" s="26"/>
      <c r="AV84" s="3"/>
    </row>
    <row r="85" spans="3:46" ht="13.5" customHeight="1">
      <c r="C85" s="94" t="s">
        <v>142</v>
      </c>
      <c r="D85" s="41" t="s">
        <v>65</v>
      </c>
      <c r="E85" s="42" t="s">
        <v>58</v>
      </c>
      <c r="F85" s="42">
        <v>161</v>
      </c>
      <c r="G85" s="42">
        <v>0</v>
      </c>
      <c r="H85" s="42">
        <v>149</v>
      </c>
      <c r="I85" s="42">
        <v>162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/>
      <c r="Q85" s="81">
        <f t="shared" si="3"/>
        <v>472</v>
      </c>
      <c r="R85" s="43">
        <f t="shared" si="4"/>
        <v>0</v>
      </c>
      <c r="S85" s="44">
        <f>Q85/3</f>
        <v>157.33333333333334</v>
      </c>
      <c r="T85" s="95">
        <f t="shared" si="5"/>
        <v>472</v>
      </c>
      <c r="U85" s="19"/>
      <c r="V85" s="19"/>
      <c r="W85" s="23"/>
      <c r="X85" s="24"/>
      <c r="Y85" s="25"/>
      <c r="Z85" s="9"/>
      <c r="AC85" s="23"/>
      <c r="AD85" s="23"/>
      <c r="AJ85" s="26"/>
      <c r="AL85" s="23"/>
      <c r="AR85" s="26"/>
      <c r="AS85" s="26"/>
      <c r="AT85" s="3"/>
    </row>
    <row r="86" spans="3:20" ht="13.5" customHeight="1">
      <c r="C86" s="126" t="s">
        <v>144</v>
      </c>
      <c r="D86" s="127" t="s">
        <v>145</v>
      </c>
      <c r="E86" s="128" t="s">
        <v>103</v>
      </c>
      <c r="F86" s="128">
        <v>0</v>
      </c>
      <c r="G86" s="128">
        <v>0</v>
      </c>
      <c r="H86" s="128">
        <v>0</v>
      </c>
      <c r="I86" s="128">
        <v>142</v>
      </c>
      <c r="J86" s="128">
        <v>0</v>
      </c>
      <c r="K86" s="128">
        <v>0</v>
      </c>
      <c r="L86" s="128">
        <v>139</v>
      </c>
      <c r="M86" s="128">
        <v>0</v>
      </c>
      <c r="N86" s="128">
        <v>0</v>
      </c>
      <c r="O86" s="128">
        <v>140</v>
      </c>
      <c r="P86" s="128"/>
      <c r="Q86" s="129">
        <f t="shared" si="3"/>
        <v>421</v>
      </c>
      <c r="R86" s="130">
        <f t="shared" si="4"/>
        <v>0</v>
      </c>
      <c r="S86" s="131">
        <f>Q86/2</f>
        <v>210.5</v>
      </c>
      <c r="T86" s="132">
        <f t="shared" si="5"/>
        <v>421</v>
      </c>
    </row>
    <row r="87" spans="3:22" ht="12" customHeight="1">
      <c r="C87" s="94" t="s">
        <v>146</v>
      </c>
      <c r="D87" s="41" t="s">
        <v>143</v>
      </c>
      <c r="E87" s="42" t="s">
        <v>54</v>
      </c>
      <c r="F87" s="42">
        <v>0</v>
      </c>
      <c r="G87" s="42">
        <v>0</v>
      </c>
      <c r="H87" s="42">
        <v>0</v>
      </c>
      <c r="I87" s="42">
        <v>168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175</v>
      </c>
      <c r="P87" s="42"/>
      <c r="Q87" s="81">
        <f t="shared" si="3"/>
        <v>343</v>
      </c>
      <c r="R87" s="43">
        <f t="shared" si="4"/>
        <v>0</v>
      </c>
      <c r="S87" s="44">
        <f>Q87</f>
        <v>343</v>
      </c>
      <c r="T87" s="95">
        <f t="shared" si="5"/>
        <v>343</v>
      </c>
      <c r="U87" s="14"/>
      <c r="V87" s="20"/>
    </row>
    <row r="88" spans="3:44" s="57" customFormat="1" ht="12" customHeight="1"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14"/>
      <c r="V88" s="20"/>
      <c r="W88" s="25"/>
      <c r="X88" s="9"/>
      <c r="Y88" s="23"/>
      <c r="Z88" s="23"/>
      <c r="AA88" s="23"/>
      <c r="AB88" s="23"/>
      <c r="AC88" s="26"/>
      <c r="AD88" s="26"/>
      <c r="AE88" s="26"/>
      <c r="AF88" s="26"/>
      <c r="AG88" s="26"/>
      <c r="AH88" s="26"/>
      <c r="AI88" s="26"/>
      <c r="AJ88" s="23"/>
      <c r="AK88" s="26"/>
      <c r="AL88" s="26"/>
      <c r="AM88" s="26"/>
      <c r="AN88" s="26"/>
      <c r="AO88" s="26"/>
      <c r="AP88" s="26"/>
      <c r="AQ88" s="26"/>
      <c r="AR88" s="66"/>
    </row>
    <row r="89" spans="3:44" s="57" customFormat="1" ht="12" customHeight="1">
      <c r="C89" s="58"/>
      <c r="D89" s="59"/>
      <c r="E89" s="58"/>
      <c r="F89" s="58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58"/>
      <c r="R89" s="60"/>
      <c r="S89" s="61"/>
      <c r="T89" s="62"/>
      <c r="U89" s="14"/>
      <c r="V89" s="20"/>
      <c r="W89" s="25"/>
      <c r="X89" s="9"/>
      <c r="Y89" s="23"/>
      <c r="Z89" s="23"/>
      <c r="AA89" s="23"/>
      <c r="AB89" s="23"/>
      <c r="AC89" s="26"/>
      <c r="AD89" s="26"/>
      <c r="AE89" s="26"/>
      <c r="AF89" s="26"/>
      <c r="AG89" s="26"/>
      <c r="AH89" s="26"/>
      <c r="AI89" s="26"/>
      <c r="AJ89" s="23"/>
      <c r="AK89" s="26"/>
      <c r="AL89" s="26"/>
      <c r="AM89" s="26"/>
      <c r="AN89" s="26"/>
      <c r="AO89" s="26"/>
      <c r="AP89" s="26"/>
      <c r="AQ89" s="26"/>
      <c r="AR89" s="66"/>
    </row>
    <row r="90" spans="3:44" s="57" customFormat="1" ht="12" customHeight="1">
      <c r="C90" s="58"/>
      <c r="D90" s="59"/>
      <c r="E90" s="58"/>
      <c r="F90" s="58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58"/>
      <c r="R90" s="60"/>
      <c r="S90" s="61"/>
      <c r="T90" s="62"/>
      <c r="U90" s="14"/>
      <c r="V90" s="20"/>
      <c r="W90" s="25"/>
      <c r="X90" s="9"/>
      <c r="Y90" s="23"/>
      <c r="Z90" s="23"/>
      <c r="AA90" s="23"/>
      <c r="AB90" s="23"/>
      <c r="AC90" s="26"/>
      <c r="AD90" s="26"/>
      <c r="AE90" s="26"/>
      <c r="AF90" s="26"/>
      <c r="AG90" s="26"/>
      <c r="AH90" s="26"/>
      <c r="AI90" s="26"/>
      <c r="AJ90" s="23"/>
      <c r="AK90" s="26"/>
      <c r="AL90" s="26"/>
      <c r="AM90" s="26"/>
      <c r="AN90" s="26"/>
      <c r="AO90" s="26"/>
      <c r="AP90" s="26"/>
      <c r="AQ90" s="26"/>
      <c r="AR90" s="66"/>
    </row>
    <row r="91" spans="3:44" s="57" customFormat="1" ht="12" customHeight="1">
      <c r="C91" s="58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60"/>
      <c r="S91" s="61"/>
      <c r="T91" s="62"/>
      <c r="U91" s="14"/>
      <c r="V91" s="20"/>
      <c r="W91" s="25"/>
      <c r="X91" s="9"/>
      <c r="Y91" s="23"/>
      <c r="Z91" s="23"/>
      <c r="AA91" s="23"/>
      <c r="AB91" s="23"/>
      <c r="AC91" s="26"/>
      <c r="AD91" s="26"/>
      <c r="AE91" s="26"/>
      <c r="AF91" s="26"/>
      <c r="AG91" s="26"/>
      <c r="AH91" s="26"/>
      <c r="AI91" s="26"/>
      <c r="AJ91" s="23"/>
      <c r="AK91" s="26"/>
      <c r="AL91" s="26"/>
      <c r="AM91" s="26"/>
      <c r="AN91" s="26"/>
      <c r="AO91" s="26"/>
      <c r="AP91" s="26"/>
      <c r="AQ91" s="26"/>
      <c r="AR91" s="66"/>
    </row>
    <row r="92" spans="3:44" s="57" customFormat="1" ht="12" customHeight="1">
      <c r="C92" s="58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60"/>
      <c r="S92" s="61"/>
      <c r="T92" s="62"/>
      <c r="U92" s="14"/>
      <c r="V92" s="20"/>
      <c r="W92" s="25"/>
      <c r="X92" s="9"/>
      <c r="Y92" s="23"/>
      <c r="Z92" s="23"/>
      <c r="AA92" s="23"/>
      <c r="AB92" s="23"/>
      <c r="AC92" s="26"/>
      <c r="AD92" s="26"/>
      <c r="AE92" s="26"/>
      <c r="AF92" s="26"/>
      <c r="AG92" s="26"/>
      <c r="AH92" s="26"/>
      <c r="AI92" s="26"/>
      <c r="AJ92" s="23"/>
      <c r="AK92" s="26"/>
      <c r="AL92" s="26"/>
      <c r="AM92" s="26"/>
      <c r="AN92" s="26"/>
      <c r="AO92" s="26"/>
      <c r="AP92" s="26"/>
      <c r="AQ92" s="26"/>
      <c r="AR92" s="66"/>
    </row>
    <row r="93" spans="3:44" s="57" customFormat="1" ht="12" customHeight="1">
      <c r="C93" s="58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60"/>
      <c r="S93" s="61"/>
      <c r="T93" s="62"/>
      <c r="U93" s="14"/>
      <c r="V93" s="20"/>
      <c r="W93" s="25"/>
      <c r="X93" s="9"/>
      <c r="Y93" s="23"/>
      <c r="Z93" s="23"/>
      <c r="AA93" s="23"/>
      <c r="AB93" s="23"/>
      <c r="AC93" s="26"/>
      <c r="AD93" s="26"/>
      <c r="AE93" s="26"/>
      <c r="AF93" s="26"/>
      <c r="AG93" s="26"/>
      <c r="AH93" s="26"/>
      <c r="AI93" s="26"/>
      <c r="AJ93" s="23"/>
      <c r="AK93" s="26"/>
      <c r="AL93" s="26"/>
      <c r="AM93" s="26"/>
      <c r="AN93" s="26"/>
      <c r="AO93" s="26"/>
      <c r="AP93" s="26"/>
      <c r="AQ93" s="26"/>
      <c r="AR93" s="66"/>
    </row>
    <row r="94" spans="21:44" s="57" customFormat="1" ht="12" customHeight="1">
      <c r="U94" s="14"/>
      <c r="V94" s="20"/>
      <c r="W94" s="25"/>
      <c r="X94" s="9"/>
      <c r="Y94" s="23"/>
      <c r="Z94" s="23"/>
      <c r="AA94" s="23"/>
      <c r="AB94" s="23"/>
      <c r="AC94" s="26"/>
      <c r="AD94" s="26"/>
      <c r="AE94" s="26"/>
      <c r="AF94" s="26"/>
      <c r="AG94" s="26"/>
      <c r="AH94" s="26"/>
      <c r="AI94" s="26"/>
      <c r="AJ94" s="23"/>
      <c r="AK94" s="26"/>
      <c r="AL94" s="26"/>
      <c r="AM94" s="26"/>
      <c r="AN94" s="26"/>
      <c r="AO94" s="26"/>
      <c r="AP94" s="26"/>
      <c r="AQ94" s="26"/>
      <c r="AR94" s="66"/>
    </row>
    <row r="95" spans="21:44" s="57" customFormat="1" ht="12" customHeight="1">
      <c r="U95" s="14"/>
      <c r="V95" s="20"/>
      <c r="W95" s="25"/>
      <c r="X95" s="9"/>
      <c r="Y95" s="23"/>
      <c r="Z95" s="23"/>
      <c r="AA95" s="23"/>
      <c r="AB95" s="23"/>
      <c r="AC95" s="26"/>
      <c r="AD95" s="26"/>
      <c r="AE95" s="26"/>
      <c r="AF95" s="26"/>
      <c r="AG95" s="26"/>
      <c r="AH95" s="26"/>
      <c r="AI95" s="26"/>
      <c r="AJ95" s="23"/>
      <c r="AK95" s="26"/>
      <c r="AL95" s="26"/>
      <c r="AM95" s="26"/>
      <c r="AN95" s="26"/>
      <c r="AO95" s="26"/>
      <c r="AP95" s="26"/>
      <c r="AQ95" s="26"/>
      <c r="AR95" s="66"/>
    </row>
    <row r="96" spans="21:44" s="57" customFormat="1" ht="11.25">
      <c r="U96" s="14"/>
      <c r="V96" s="20"/>
      <c r="W96" s="25"/>
      <c r="X96" s="9"/>
      <c r="Y96" s="23"/>
      <c r="Z96" s="23"/>
      <c r="AA96" s="23"/>
      <c r="AB96" s="23"/>
      <c r="AC96" s="26"/>
      <c r="AD96" s="26"/>
      <c r="AE96" s="26"/>
      <c r="AF96" s="26"/>
      <c r="AG96" s="26"/>
      <c r="AH96" s="26"/>
      <c r="AI96" s="26"/>
      <c r="AJ96" s="23"/>
      <c r="AK96" s="26"/>
      <c r="AL96" s="26"/>
      <c r="AM96" s="26"/>
      <c r="AN96" s="26"/>
      <c r="AO96" s="26"/>
      <c r="AP96" s="26"/>
      <c r="AQ96" s="26"/>
      <c r="AR96" s="66"/>
    </row>
    <row r="97" spans="21:44" s="57" customFormat="1" ht="11.25">
      <c r="U97" s="14"/>
      <c r="V97" s="20"/>
      <c r="W97" s="25"/>
      <c r="X97" s="9"/>
      <c r="Y97" s="23"/>
      <c r="Z97" s="23"/>
      <c r="AA97" s="23"/>
      <c r="AB97" s="23"/>
      <c r="AC97" s="26"/>
      <c r="AD97" s="26"/>
      <c r="AE97" s="26"/>
      <c r="AF97" s="26"/>
      <c r="AG97" s="26"/>
      <c r="AH97" s="26"/>
      <c r="AI97" s="26"/>
      <c r="AJ97" s="23"/>
      <c r="AK97" s="26"/>
      <c r="AL97" s="26"/>
      <c r="AM97" s="26"/>
      <c r="AN97" s="26"/>
      <c r="AO97" s="26"/>
      <c r="AP97" s="26"/>
      <c r="AQ97" s="26"/>
      <c r="AR97" s="66"/>
    </row>
    <row r="98" spans="21:44" s="57" customFormat="1" ht="12" customHeight="1">
      <c r="U98" s="14"/>
      <c r="V98" s="20"/>
      <c r="W98" s="25"/>
      <c r="X98" s="9"/>
      <c r="Y98" s="23"/>
      <c r="Z98" s="23"/>
      <c r="AA98" s="23"/>
      <c r="AB98" s="23"/>
      <c r="AC98" s="26"/>
      <c r="AD98" s="26"/>
      <c r="AE98" s="26"/>
      <c r="AF98" s="26"/>
      <c r="AG98" s="26"/>
      <c r="AH98" s="26"/>
      <c r="AI98" s="26"/>
      <c r="AJ98" s="23"/>
      <c r="AK98" s="26"/>
      <c r="AL98" s="26"/>
      <c r="AM98" s="26"/>
      <c r="AN98" s="26"/>
      <c r="AO98" s="26"/>
      <c r="AP98" s="26"/>
      <c r="AQ98" s="26"/>
      <c r="AR98" s="66"/>
    </row>
    <row r="99" spans="21:44" s="57" customFormat="1" ht="12" customHeight="1">
      <c r="U99" s="14"/>
      <c r="V99" s="20"/>
      <c r="W99" s="25"/>
      <c r="X99" s="9"/>
      <c r="Y99" s="23"/>
      <c r="Z99" s="23"/>
      <c r="AA99" s="23"/>
      <c r="AB99" s="23"/>
      <c r="AC99" s="26"/>
      <c r="AD99" s="26"/>
      <c r="AE99" s="26"/>
      <c r="AF99" s="26"/>
      <c r="AG99" s="26"/>
      <c r="AH99" s="26"/>
      <c r="AI99" s="26"/>
      <c r="AJ99" s="23"/>
      <c r="AK99" s="26"/>
      <c r="AL99" s="26"/>
      <c r="AM99" s="26"/>
      <c r="AN99" s="26"/>
      <c r="AO99" s="26"/>
      <c r="AP99" s="26"/>
      <c r="AQ99" s="26"/>
      <c r="AR99" s="66"/>
    </row>
    <row r="100" spans="21:44" s="57" customFormat="1" ht="12" customHeight="1">
      <c r="U100" s="14"/>
      <c r="V100" s="20"/>
      <c r="W100" s="25"/>
      <c r="X100" s="9"/>
      <c r="Y100" s="23"/>
      <c r="Z100" s="23"/>
      <c r="AA100" s="23"/>
      <c r="AB100" s="23"/>
      <c r="AC100" s="26"/>
      <c r="AD100" s="26"/>
      <c r="AE100" s="26"/>
      <c r="AF100" s="26"/>
      <c r="AG100" s="26"/>
      <c r="AH100" s="26"/>
      <c r="AI100" s="26"/>
      <c r="AJ100" s="23"/>
      <c r="AK100" s="26"/>
      <c r="AL100" s="26"/>
      <c r="AM100" s="26"/>
      <c r="AN100" s="26"/>
      <c r="AO100" s="26"/>
      <c r="AP100" s="26"/>
      <c r="AQ100" s="26"/>
      <c r="AR100" s="66"/>
    </row>
    <row r="101" spans="21:44" s="57" customFormat="1" ht="12" customHeight="1">
      <c r="U101" s="14"/>
      <c r="V101" s="20"/>
      <c r="W101" s="25"/>
      <c r="X101" s="9"/>
      <c r="Y101" s="23"/>
      <c r="Z101" s="23"/>
      <c r="AA101" s="23"/>
      <c r="AB101" s="23"/>
      <c r="AC101" s="26"/>
      <c r="AD101" s="26"/>
      <c r="AE101" s="26"/>
      <c r="AF101" s="26"/>
      <c r="AG101" s="26"/>
      <c r="AH101" s="26"/>
      <c r="AI101" s="26"/>
      <c r="AJ101" s="23"/>
      <c r="AK101" s="26"/>
      <c r="AL101" s="26"/>
      <c r="AM101" s="26"/>
      <c r="AN101" s="26"/>
      <c r="AO101" s="26"/>
      <c r="AP101" s="26"/>
      <c r="AQ101" s="26"/>
      <c r="AR101" s="66"/>
    </row>
    <row r="102" spans="3:23" ht="9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4"/>
      <c r="V102" s="20"/>
      <c r="W102" s="23"/>
    </row>
    <row r="103" spans="3:20" ht="11.2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0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2" ht="16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4"/>
      <c r="V105" s="20"/>
    </row>
    <row r="106" spans="3:22" ht="14.2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V106" s="23"/>
    </row>
    <row r="107" spans="3:20" ht="11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1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1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1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1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5.7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1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1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1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">
      <c r="A116" s="57"/>
      <c r="B116" s="57"/>
      <c r="C116" s="58"/>
      <c r="D116" s="59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60"/>
      <c r="S116" s="61"/>
      <c r="T116" s="62"/>
    </row>
    <row r="117" spans="1:20" ht="12">
      <c r="A117" s="57"/>
      <c r="B117" s="57"/>
      <c r="C117" s="58"/>
      <c r="D117" s="59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60"/>
      <c r="S117" s="61"/>
      <c r="T117" s="62"/>
    </row>
    <row r="118" spans="1:20" ht="12">
      <c r="A118" s="57"/>
      <c r="B118" s="57"/>
      <c r="C118" s="58"/>
      <c r="D118" s="59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60"/>
      <c r="S118" s="61"/>
      <c r="T118" s="62"/>
    </row>
    <row r="119" spans="1:20" ht="12">
      <c r="A119" s="57"/>
      <c r="B119" s="57"/>
      <c r="C119" s="58"/>
      <c r="D119" s="59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60"/>
      <c r="S119" s="61"/>
      <c r="T119" s="62"/>
    </row>
    <row r="120" spans="1:16" ht="11.25">
      <c r="A120" s="57"/>
      <c r="B120" s="57"/>
      <c r="C120" s="19"/>
      <c r="D120" s="63"/>
      <c r="E120" s="64"/>
      <c r="F120" s="19"/>
      <c r="G120" s="19"/>
      <c r="H120" s="19"/>
      <c r="I120" s="19"/>
      <c r="J120" s="19"/>
      <c r="K120" s="19"/>
      <c r="L120" s="19"/>
      <c r="M120" s="65"/>
      <c r="N120" s="19"/>
      <c r="O120" s="19"/>
      <c r="P120" s="19"/>
    </row>
  </sheetData>
  <sheetProtection/>
  <mergeCells count="70">
    <mergeCell ref="C35:T35"/>
    <mergeCell ref="D23:D24"/>
    <mergeCell ref="P17:P18"/>
    <mergeCell ref="Q17:Q18"/>
    <mergeCell ref="C34:T34"/>
    <mergeCell ref="Q21:Q22"/>
    <mergeCell ref="R29:R30"/>
    <mergeCell ref="R31:R32"/>
    <mergeCell ref="Q31:Q32"/>
    <mergeCell ref="P31:P32"/>
    <mergeCell ref="Q25:Q26"/>
    <mergeCell ref="R27:R28"/>
    <mergeCell ref="Q29:Q30"/>
    <mergeCell ref="R6:R8"/>
    <mergeCell ref="Q13:Q14"/>
    <mergeCell ref="Q11:Q12"/>
    <mergeCell ref="Q9:Q10"/>
    <mergeCell ref="R13:R14"/>
    <mergeCell ref="Q6:Q8"/>
    <mergeCell ref="R11:R12"/>
    <mergeCell ref="D29:D30"/>
    <mergeCell ref="C13:C14"/>
    <mergeCell ref="D17:D18"/>
    <mergeCell ref="C4:R4"/>
    <mergeCell ref="C5:R5"/>
    <mergeCell ref="Q15:Q16"/>
    <mergeCell ref="R25:R26"/>
    <mergeCell ref="R19:R20"/>
    <mergeCell ref="R23:R24"/>
    <mergeCell ref="R17:R18"/>
    <mergeCell ref="Q19:Q20"/>
    <mergeCell ref="R21:R22"/>
    <mergeCell ref="C2:P2"/>
    <mergeCell ref="C11:C12"/>
    <mergeCell ref="R15:R16"/>
    <mergeCell ref="P29:P30"/>
    <mergeCell ref="C25:C26"/>
    <mergeCell ref="P25:P26"/>
    <mergeCell ref="P6:P8"/>
    <mergeCell ref="P13:P14"/>
    <mergeCell ref="C15:C16"/>
    <mergeCell ref="D15:D16"/>
    <mergeCell ref="P15:P16"/>
    <mergeCell ref="P9:P10"/>
    <mergeCell ref="P11:P12"/>
    <mergeCell ref="R9:R10"/>
    <mergeCell ref="C31:C32"/>
    <mergeCell ref="P19:P20"/>
    <mergeCell ref="D31:D32"/>
    <mergeCell ref="C21:C22"/>
    <mergeCell ref="C29:C30"/>
    <mergeCell ref="C23:C24"/>
    <mergeCell ref="C27:C28"/>
    <mergeCell ref="D27:D28"/>
    <mergeCell ref="P21:P22"/>
    <mergeCell ref="C7:D7"/>
    <mergeCell ref="C9:C10"/>
    <mergeCell ref="D13:D14"/>
    <mergeCell ref="D11:D12"/>
    <mergeCell ref="D9:D10"/>
    <mergeCell ref="AN20:AS20"/>
    <mergeCell ref="D21:D22"/>
    <mergeCell ref="Q23:Q24"/>
    <mergeCell ref="C17:C18"/>
    <mergeCell ref="P27:P28"/>
    <mergeCell ref="P23:P24"/>
    <mergeCell ref="C19:C20"/>
    <mergeCell ref="D19:D20"/>
    <mergeCell ref="D25:D26"/>
    <mergeCell ref="Q27:Q28"/>
  </mergeCells>
  <printOptions/>
  <pageMargins left="0.39" right="0.69" top="0.17" bottom="0.17" header="0" footer="0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SPREJEM4</cp:lastModifiedBy>
  <cp:lastPrinted>2015-01-08T15:51:21Z</cp:lastPrinted>
  <dcterms:created xsi:type="dcterms:W3CDTF">1997-01-31T12:20:41Z</dcterms:created>
  <dcterms:modified xsi:type="dcterms:W3CDTF">2015-03-17T16:11:05Z</dcterms:modified>
  <cp:category/>
  <cp:version/>
  <cp:contentType/>
  <cp:contentStatus/>
</cp:coreProperties>
</file>